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ren_Khachyan\Desktop\11.06.2024\"/>
    </mc:Choice>
  </mc:AlternateContent>
  <bookViews>
    <workbookView xWindow="28680" yWindow="-120" windowWidth="29040" windowHeight="15720"/>
  </bookViews>
  <sheets>
    <sheet name="Sheet1" sheetId="1" r:id="rId1"/>
  </sheets>
  <definedNames>
    <definedName name="_xlnm._FilterDatabase" localSheetId="0" hidden="1">Sheet1!$A$7:$I$433</definedName>
    <definedName name="_ftn1" localSheetId="0">Sheet1!#REF!</definedName>
    <definedName name="_ftnref1" localSheetId="0">Sheet1!#REF!</definedName>
    <definedName name="_Toc148709580" localSheetId="0">Sheet1!$A$106</definedName>
    <definedName name="_Toc148709594" localSheetId="0">Sheet1!#REF!</definedName>
    <definedName name="_Toc148709596" localSheetId="0">Sheet1!#REF!</definedName>
    <definedName name="_Toc148709597" localSheetId="0">Sheet1!#REF!</definedName>
    <definedName name="_Toc148709598" localSheetId="0">Sheet1!#REF!</definedName>
    <definedName name="_Toc148709599" localSheetId="0">Sheet1!#REF!</definedName>
    <definedName name="_Toc148709600" localSheetId="0">Sheet1!#REF!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35" i="1" l="1"/>
  <c r="P289" i="1"/>
  <c r="P182" i="1"/>
  <c r="P181" i="1"/>
  <c r="P168" i="1"/>
  <c r="P132" i="1"/>
  <c r="P105" i="1"/>
  <c r="P75" i="1"/>
  <c r="P46" i="1"/>
  <c r="K438" i="1" l="1"/>
  <c r="L430" i="1"/>
  <c r="L429" i="1"/>
  <c r="L428" i="1"/>
  <c r="L425" i="1"/>
  <c r="L423" i="1"/>
  <c r="L420" i="1"/>
  <c r="L402" i="1"/>
  <c r="L383" i="1"/>
  <c r="L370" i="1"/>
  <c r="L365" i="1"/>
  <c r="L342" i="1"/>
  <c r="L327" i="1"/>
  <c r="L319" i="1"/>
  <c r="L318" i="1"/>
  <c r="K310" i="1"/>
  <c r="L305" i="1"/>
  <c r="M305" i="1" s="1"/>
  <c r="N305" i="1" s="1"/>
  <c r="L300" i="1"/>
  <c r="L292" i="1"/>
  <c r="L287" i="1"/>
  <c r="L286" i="1"/>
  <c r="L284" i="1"/>
  <c r="L283" i="1"/>
  <c r="L282" i="1"/>
  <c r="L281" i="1"/>
  <c r="L280" i="1"/>
  <c r="L278" i="1"/>
  <c r="L264" i="1"/>
  <c r="L235" i="1"/>
  <c r="L230" i="1"/>
  <c r="M230" i="1" s="1"/>
  <c r="L221" i="1"/>
  <c r="L219" i="1"/>
  <c r="L216" i="1"/>
  <c r="L215" i="1"/>
  <c r="L206" i="1"/>
  <c r="M206" i="1" s="1"/>
  <c r="L200" i="1"/>
  <c r="L196" i="1"/>
  <c r="L190" i="1"/>
  <c r="L186" i="1"/>
  <c r="L185" i="1"/>
  <c r="L157" i="1"/>
  <c r="L154" i="1"/>
  <c r="L150" i="1"/>
  <c r="L149" i="1"/>
  <c r="L147" i="1"/>
  <c r="P127" i="1"/>
  <c r="L116" i="1"/>
  <c r="M119" i="1"/>
  <c r="M118" i="1"/>
  <c r="M107" i="1"/>
  <c r="L77" i="1"/>
  <c r="L72" i="1"/>
  <c r="M72" i="1" s="1"/>
  <c r="L65" i="1"/>
  <c r="L25" i="1"/>
  <c r="P591" i="1"/>
  <c r="P590" i="1"/>
  <c r="P589" i="1"/>
  <c r="P588" i="1"/>
  <c r="L587" i="1"/>
  <c r="P587" i="1" s="1"/>
  <c r="P586" i="1"/>
  <c r="P585" i="1"/>
  <c r="P584" i="1"/>
  <c r="P583" i="1"/>
  <c r="K582" i="1"/>
  <c r="P582" i="1" s="1"/>
  <c r="P592" i="1" l="1"/>
  <c r="P612" i="1"/>
  <c r="P611" i="1"/>
  <c r="K610" i="1"/>
  <c r="P610" i="1" s="1"/>
  <c r="P609" i="1"/>
  <c r="P608" i="1"/>
  <c r="P607" i="1"/>
  <c r="P606" i="1"/>
  <c r="P605" i="1"/>
  <c r="P604" i="1"/>
  <c r="K603" i="1"/>
  <c r="P603" i="1" s="1"/>
  <c r="K600" i="1"/>
  <c r="P600" i="1" s="1"/>
  <c r="K599" i="1"/>
  <c r="P599" i="1" s="1"/>
  <c r="K598" i="1"/>
  <c r="P598" i="1" s="1"/>
  <c r="K597" i="1"/>
  <c r="P597" i="1" s="1"/>
  <c r="K596" i="1"/>
  <c r="P596" i="1" s="1"/>
  <c r="K595" i="1"/>
  <c r="P595" i="1" s="1"/>
  <c r="K594" i="1"/>
  <c r="P594" i="1" s="1"/>
  <c r="P579" i="1"/>
  <c r="P578" i="1"/>
  <c r="P577" i="1"/>
  <c r="P576" i="1"/>
  <c r="P575" i="1"/>
  <c r="P574" i="1"/>
  <c r="P573" i="1"/>
  <c r="P572" i="1"/>
  <c r="P571" i="1"/>
  <c r="P569" i="1"/>
  <c r="P568" i="1"/>
  <c r="P567" i="1"/>
  <c r="P566" i="1"/>
  <c r="P565" i="1"/>
  <c r="P564" i="1"/>
  <c r="P563" i="1"/>
  <c r="P562" i="1"/>
  <c r="P561" i="1"/>
  <c r="P560" i="1"/>
  <c r="K559" i="1"/>
  <c r="P559" i="1" s="1"/>
  <c r="P558" i="1"/>
  <c r="P555" i="1"/>
  <c r="L554" i="1"/>
  <c r="M554" i="1" s="1"/>
  <c r="N554" i="1" s="1"/>
  <c r="O554" i="1" s="1"/>
  <c r="L553" i="1"/>
  <c r="P553" i="1" s="1"/>
  <c r="P552" i="1"/>
  <c r="K551" i="1"/>
  <c r="L551" i="1" s="1"/>
  <c r="P551" i="1" s="1"/>
  <c r="P550" i="1"/>
  <c r="P549" i="1"/>
  <c r="P548" i="1"/>
  <c r="P543" i="1"/>
  <c r="P542" i="1"/>
  <c r="L541" i="1"/>
  <c r="P541" i="1" s="1"/>
  <c r="P540" i="1"/>
  <c r="P539" i="1"/>
  <c r="K538" i="1"/>
  <c r="P538" i="1" s="1"/>
  <c r="P537" i="1"/>
  <c r="K536" i="1"/>
  <c r="P536" i="1" s="1"/>
  <c r="K535" i="1"/>
  <c r="P535" i="1" s="1"/>
  <c r="L534" i="1"/>
  <c r="P534" i="1" s="1"/>
  <c r="P533" i="1"/>
  <c r="L532" i="1"/>
  <c r="P532" i="1" s="1"/>
  <c r="P531" i="1"/>
  <c r="P530" i="1"/>
  <c r="P529" i="1"/>
  <c r="P528" i="1"/>
  <c r="P527" i="1"/>
  <c r="L526" i="1"/>
  <c r="P526" i="1" s="1"/>
  <c r="P525" i="1"/>
  <c r="P524" i="1"/>
  <c r="P523" i="1"/>
  <c r="P522" i="1"/>
  <c r="L521" i="1"/>
  <c r="P521" i="1" s="1"/>
  <c r="K520" i="1"/>
  <c r="P520" i="1" s="1"/>
  <c r="K519" i="1"/>
  <c r="P519" i="1" s="1"/>
  <c r="P518" i="1"/>
  <c r="P517" i="1"/>
  <c r="M516" i="1"/>
  <c r="P516" i="1" s="1"/>
  <c r="L513" i="1"/>
  <c r="P513" i="1" s="1"/>
  <c r="P512" i="1"/>
  <c r="L511" i="1"/>
  <c r="P511" i="1" s="1"/>
  <c r="K510" i="1"/>
  <c r="P510" i="1" s="1"/>
  <c r="K509" i="1"/>
  <c r="P509" i="1" s="1"/>
  <c r="P507" i="1"/>
  <c r="P506" i="1"/>
  <c r="P505" i="1"/>
  <c r="P504" i="1"/>
  <c r="P503" i="1"/>
  <c r="P502" i="1"/>
  <c r="P501" i="1"/>
  <c r="M500" i="1"/>
  <c r="P500" i="1" s="1"/>
  <c r="P499" i="1"/>
  <c r="P498" i="1"/>
  <c r="L497" i="1"/>
  <c r="P497" i="1" s="1"/>
  <c r="P496" i="1"/>
  <c r="L495" i="1"/>
  <c r="P495" i="1" s="1"/>
  <c r="P494" i="1"/>
  <c r="K493" i="1"/>
  <c r="P493" i="1" s="1"/>
  <c r="L492" i="1"/>
  <c r="P492" i="1" s="1"/>
  <c r="P491" i="1"/>
  <c r="P490" i="1"/>
  <c r="P489" i="1"/>
  <c r="K488" i="1"/>
  <c r="P488" i="1" s="1"/>
  <c r="P485" i="1"/>
  <c r="L484" i="1"/>
  <c r="M484" i="1" s="1"/>
  <c r="K483" i="1"/>
  <c r="P483" i="1" s="1"/>
  <c r="P482" i="1"/>
  <c r="P481" i="1"/>
  <c r="P480" i="1"/>
  <c r="P479" i="1"/>
  <c r="P478" i="1"/>
  <c r="P477" i="1"/>
  <c r="K476" i="1"/>
  <c r="P476" i="1" s="1"/>
  <c r="P475" i="1"/>
  <c r="M474" i="1"/>
  <c r="P474" i="1" s="1"/>
  <c r="P473" i="1"/>
  <c r="P472" i="1"/>
  <c r="L471" i="1"/>
  <c r="P471" i="1" s="1"/>
  <c r="L470" i="1"/>
  <c r="P470" i="1" s="1"/>
  <c r="P469" i="1"/>
  <c r="P468" i="1"/>
  <c r="P467" i="1"/>
  <c r="P466" i="1"/>
  <c r="P465" i="1"/>
  <c r="M464" i="1"/>
  <c r="P464" i="1" s="1"/>
  <c r="P463" i="1"/>
  <c r="P462" i="1"/>
  <c r="L461" i="1"/>
  <c r="P461" i="1" s="1"/>
  <c r="L460" i="1"/>
  <c r="P460" i="1" s="1"/>
  <c r="P459" i="1"/>
  <c r="K458" i="1"/>
  <c r="P458" i="1" s="1"/>
  <c r="P455" i="1"/>
  <c r="L454" i="1"/>
  <c r="P453" i="1"/>
  <c r="K452" i="1"/>
  <c r="P452" i="1" s="1"/>
  <c r="P451" i="1"/>
  <c r="L450" i="1"/>
  <c r="L449" i="1"/>
  <c r="P449" i="1" s="1"/>
  <c r="L448" i="1"/>
  <c r="N448" i="1" s="1"/>
  <c r="P448" i="1" s="1"/>
  <c r="P447" i="1"/>
  <c r="K446" i="1"/>
  <c r="L446" i="1" s="1"/>
  <c r="P445" i="1"/>
  <c r="P444" i="1"/>
  <c r="K443" i="1"/>
  <c r="P443" i="1" s="1"/>
  <c r="P442" i="1"/>
  <c r="P441" i="1"/>
  <c r="P440" i="1"/>
  <c r="P439" i="1"/>
  <c r="P438" i="1"/>
  <c r="P437" i="1"/>
  <c r="P613" i="1" l="1"/>
  <c r="P514" i="1"/>
  <c r="P546" i="1"/>
  <c r="P601" i="1"/>
  <c r="P484" i="1"/>
  <c r="P486" i="1" s="1"/>
  <c r="M450" i="1"/>
  <c r="N450" i="1" s="1"/>
  <c r="O450" i="1" s="1"/>
  <c r="P554" i="1"/>
  <c r="P556" i="1" s="1"/>
  <c r="M446" i="1"/>
  <c r="N446" i="1" s="1"/>
  <c r="O446" i="1" s="1"/>
  <c r="M570" i="1"/>
  <c r="N570" i="1" s="1"/>
  <c r="O570" i="1" s="1"/>
  <c r="M454" i="1"/>
  <c r="P454" i="1" s="1"/>
  <c r="P450" i="1" l="1"/>
  <c r="P570" i="1"/>
  <c r="P580" i="1" s="1"/>
  <c r="P446" i="1"/>
  <c r="P456" i="1" l="1"/>
  <c r="P614" i="1" s="1"/>
  <c r="M33" i="1"/>
  <c r="M252" i="1" l="1"/>
  <c r="P167" i="1"/>
  <c r="P166" i="1"/>
  <c r="P165" i="1"/>
  <c r="P164" i="1"/>
  <c r="P156" i="1"/>
  <c r="P163" i="1"/>
  <c r="P162" i="1"/>
  <c r="P161" i="1"/>
  <c r="P160" i="1"/>
  <c r="M406" i="1"/>
  <c r="L285" i="1"/>
  <c r="L226" i="1"/>
  <c r="L225" i="1"/>
  <c r="M102" i="1"/>
  <c r="M101" i="1"/>
  <c r="N101" i="1" s="1"/>
  <c r="O101" i="1" s="1"/>
  <c r="M103" i="1"/>
  <c r="K99" i="1"/>
  <c r="L93" i="1"/>
  <c r="N93" i="1" s="1"/>
  <c r="L90" i="1"/>
  <c r="N90" i="1" s="1"/>
  <c r="L58" i="1"/>
  <c r="O58" i="1" s="1"/>
  <c r="L56" i="1"/>
  <c r="M40" i="1"/>
  <c r="L39" i="1"/>
  <c r="L36" i="1"/>
  <c r="L432" i="1" l="1"/>
  <c r="P432" i="1" s="1"/>
  <c r="P431" i="1"/>
  <c r="P430" i="1"/>
  <c r="P429" i="1"/>
  <c r="P428" i="1"/>
  <c r="P427" i="1"/>
  <c r="P426" i="1"/>
  <c r="P425" i="1"/>
  <c r="P424" i="1"/>
  <c r="P423" i="1"/>
  <c r="P422" i="1"/>
  <c r="P421" i="1"/>
  <c r="P420" i="1"/>
  <c r="P419" i="1"/>
  <c r="P418" i="1"/>
  <c r="P417" i="1"/>
  <c r="M416" i="1"/>
  <c r="P416" i="1" s="1"/>
  <c r="P415" i="1"/>
  <c r="P414" i="1"/>
  <c r="P413" i="1"/>
  <c r="P412" i="1"/>
  <c r="L411" i="1"/>
  <c r="P411" i="1" s="1"/>
  <c r="P410" i="1"/>
  <c r="P409" i="1"/>
  <c r="P408" i="1"/>
  <c r="P407" i="1"/>
  <c r="P405" i="1"/>
  <c r="P404" i="1"/>
  <c r="P403" i="1"/>
  <c r="P402" i="1"/>
  <c r="P399" i="1"/>
  <c r="O398" i="1"/>
  <c r="P398" i="1" s="1"/>
  <c r="N397" i="1"/>
  <c r="P397" i="1" s="1"/>
  <c r="N395" i="1"/>
  <c r="P395" i="1" s="1"/>
  <c r="P396" i="1"/>
  <c r="M394" i="1"/>
  <c r="P394" i="1" s="1"/>
  <c r="P393" i="1"/>
  <c r="P392" i="1"/>
  <c r="P391" i="1"/>
  <c r="N390" i="1"/>
  <c r="O390" i="1" s="1"/>
  <c r="P389" i="1"/>
  <c r="P388" i="1"/>
  <c r="P387" i="1"/>
  <c r="P386" i="1"/>
  <c r="P385" i="1"/>
  <c r="L384" i="1"/>
  <c r="P384" i="1" s="1"/>
  <c r="P383" i="1"/>
  <c r="P382" i="1"/>
  <c r="P381" i="1"/>
  <c r="L380" i="1"/>
  <c r="P380" i="1" s="1"/>
  <c r="L379" i="1"/>
  <c r="P379" i="1" s="1"/>
  <c r="L378" i="1"/>
  <c r="P378" i="1" s="1"/>
  <c r="P377" i="1"/>
  <c r="P376" i="1"/>
  <c r="L375" i="1"/>
  <c r="P375" i="1" s="1"/>
  <c r="P370" i="1"/>
  <c r="P374" i="1"/>
  <c r="P373" i="1"/>
  <c r="P372" i="1"/>
  <c r="P371" i="1"/>
  <c r="P367" i="1"/>
  <c r="P366" i="1"/>
  <c r="P365" i="1"/>
  <c r="L362" i="1"/>
  <c r="P362" i="1" s="1"/>
  <c r="P364" i="1"/>
  <c r="P363" i="1"/>
  <c r="L357" i="1"/>
  <c r="P357" i="1" s="1"/>
  <c r="M358" i="1"/>
  <c r="P358" i="1" s="1"/>
  <c r="P361" i="1"/>
  <c r="P360" i="1"/>
  <c r="P359" i="1"/>
  <c r="P356" i="1"/>
  <c r="P355" i="1"/>
  <c r="P354" i="1"/>
  <c r="L353" i="1"/>
  <c r="P353" i="1" s="1"/>
  <c r="P352" i="1"/>
  <c r="P351" i="1"/>
  <c r="P350" i="1"/>
  <c r="M349" i="1"/>
  <c r="P348" i="1"/>
  <c r="P347" i="1"/>
  <c r="P346" i="1"/>
  <c r="P345" i="1"/>
  <c r="L344" i="1"/>
  <c r="P344" i="1" s="1"/>
  <c r="L343" i="1"/>
  <c r="P343" i="1" s="1"/>
  <c r="P342" i="1"/>
  <c r="M339" i="1"/>
  <c r="P339" i="1" s="1"/>
  <c r="P341" i="1"/>
  <c r="P340" i="1"/>
  <c r="P338" i="1"/>
  <c r="M337" i="1"/>
  <c r="P337" i="1" s="1"/>
  <c r="P334" i="1"/>
  <c r="P333" i="1"/>
  <c r="P332" i="1"/>
  <c r="P331" i="1"/>
  <c r="L330" i="1"/>
  <c r="P329" i="1"/>
  <c r="P328" i="1"/>
  <c r="P327" i="1"/>
  <c r="P326" i="1"/>
  <c r="P325" i="1"/>
  <c r="P324" i="1"/>
  <c r="M323" i="1"/>
  <c r="P323" i="1" s="1"/>
  <c r="P322" i="1"/>
  <c r="P321" i="1"/>
  <c r="P320" i="1"/>
  <c r="P319" i="1"/>
  <c r="P318" i="1"/>
  <c r="P317" i="1"/>
  <c r="P316" i="1"/>
  <c r="P315" i="1"/>
  <c r="P313" i="1"/>
  <c r="P312" i="1"/>
  <c r="P311" i="1"/>
  <c r="P310" i="1"/>
  <c r="P309" i="1"/>
  <c r="P308" i="1"/>
  <c r="P307" i="1"/>
  <c r="P306" i="1"/>
  <c r="P304" i="1"/>
  <c r="P303" i="1"/>
  <c r="P302" i="1"/>
  <c r="P301" i="1"/>
  <c r="P300" i="1"/>
  <c r="P299" i="1"/>
  <c r="P298" i="1"/>
  <c r="P297" i="1"/>
  <c r="P296" i="1"/>
  <c r="P295" i="1"/>
  <c r="P294" i="1"/>
  <c r="P293" i="1"/>
  <c r="P292" i="1"/>
  <c r="P287" i="1"/>
  <c r="P285" i="1"/>
  <c r="P284" i="1"/>
  <c r="P283" i="1"/>
  <c r="P282" i="1"/>
  <c r="P280" i="1"/>
  <c r="P278" i="1"/>
  <c r="P279" i="1"/>
  <c r="L276" i="1"/>
  <c r="P276" i="1" s="1"/>
  <c r="P277" i="1"/>
  <c r="P275" i="1"/>
  <c r="K274" i="1"/>
  <c r="P274" i="1" s="1"/>
  <c r="P271" i="1"/>
  <c r="P270" i="1"/>
  <c r="L268" i="1"/>
  <c r="P268" i="1" s="1"/>
  <c r="P269" i="1"/>
  <c r="P267" i="1"/>
  <c r="P266" i="1"/>
  <c r="P265" i="1"/>
  <c r="P264" i="1"/>
  <c r="P263" i="1"/>
  <c r="P259" i="1"/>
  <c r="P258" i="1"/>
  <c r="P257" i="1"/>
  <c r="L249" i="1"/>
  <c r="P249" i="1" s="1"/>
  <c r="L245" i="1"/>
  <c r="P245" i="1" s="1"/>
  <c r="P254" i="1"/>
  <c r="P253" i="1"/>
  <c r="P251" i="1"/>
  <c r="P250" i="1"/>
  <c r="L248" i="1"/>
  <c r="P248" i="1" s="1"/>
  <c r="P247" i="1"/>
  <c r="P246" i="1"/>
  <c r="P244" i="1"/>
  <c r="P243" i="1"/>
  <c r="P242" i="1"/>
  <c r="P241" i="1"/>
  <c r="P240" i="1"/>
  <c r="P239" i="1"/>
  <c r="L238" i="1"/>
  <c r="P238" i="1" s="1"/>
  <c r="P237" i="1"/>
  <c r="P236" i="1"/>
  <c r="P235" i="1"/>
  <c r="P234" i="1"/>
  <c r="P233" i="1"/>
  <c r="P232" i="1"/>
  <c r="P231" i="1"/>
  <c r="P225" i="1"/>
  <c r="P227" i="1"/>
  <c r="P226" i="1"/>
  <c r="P224" i="1"/>
  <c r="P223" i="1"/>
  <c r="P222" i="1"/>
  <c r="P220" i="1"/>
  <c r="P218" i="1"/>
  <c r="P217" i="1"/>
  <c r="P216" i="1"/>
  <c r="P215" i="1"/>
  <c r="P214" i="1"/>
  <c r="P213" i="1"/>
  <c r="M212" i="1"/>
  <c r="P211" i="1"/>
  <c r="P210" i="1"/>
  <c r="M209" i="1"/>
  <c r="P209" i="1" s="1"/>
  <c r="P208" i="1"/>
  <c r="P207" i="1"/>
  <c r="P205" i="1"/>
  <c r="P204" i="1"/>
  <c r="P203" i="1"/>
  <c r="L202" i="1"/>
  <c r="P201" i="1"/>
  <c r="P199" i="1"/>
  <c r="P198" i="1"/>
  <c r="P197" i="1"/>
  <c r="P196" i="1"/>
  <c r="P195" i="1"/>
  <c r="P194" i="1"/>
  <c r="P193" i="1"/>
  <c r="P192" i="1"/>
  <c r="P191" i="1"/>
  <c r="M190" i="1"/>
  <c r="N190" i="1" s="1"/>
  <c r="O190" i="1" s="1"/>
  <c r="P189" i="1"/>
  <c r="P188" i="1"/>
  <c r="P187" i="1"/>
  <c r="P186" i="1"/>
  <c r="P185" i="1"/>
  <c r="P180" i="1"/>
  <c r="P179" i="1"/>
  <c r="P178" i="1"/>
  <c r="P177" i="1"/>
  <c r="P176" i="1"/>
  <c r="L174" i="1"/>
  <c r="P174" i="1" s="1"/>
  <c r="P175" i="1"/>
  <c r="P173" i="1"/>
  <c r="P172" i="1"/>
  <c r="P171" i="1"/>
  <c r="P170" i="1"/>
  <c r="P159" i="1"/>
  <c r="P158" i="1"/>
  <c r="P157" i="1"/>
  <c r="L155" i="1"/>
  <c r="P154" i="1"/>
  <c r="P153" i="1"/>
  <c r="P152" i="1"/>
  <c r="P151" i="1"/>
  <c r="P150" i="1"/>
  <c r="P149" i="1"/>
  <c r="P148" i="1"/>
  <c r="P147" i="1"/>
  <c r="M146" i="1"/>
  <c r="N146" i="1" s="1"/>
  <c r="O146" i="1" s="1"/>
  <c r="L146" i="1"/>
  <c r="P145" i="1"/>
  <c r="K144" i="1"/>
  <c r="P144" i="1" s="1"/>
  <c r="P143" i="1"/>
  <c r="P142" i="1"/>
  <c r="P141" i="1"/>
  <c r="P140" i="1"/>
  <c r="P139" i="1"/>
  <c r="P138" i="1"/>
  <c r="P137" i="1"/>
  <c r="P136" i="1"/>
  <c r="P135" i="1"/>
  <c r="P134" i="1"/>
  <c r="P126" i="1"/>
  <c r="P125" i="1"/>
  <c r="M124" i="1"/>
  <c r="P124" i="1" s="1"/>
  <c r="P123" i="1"/>
  <c r="P122" i="1"/>
  <c r="L121" i="1"/>
  <c r="P121" i="1" s="1"/>
  <c r="P120" i="1"/>
  <c r="P119" i="1"/>
  <c r="P118" i="1"/>
  <c r="P117" i="1"/>
  <c r="P116" i="1"/>
  <c r="P115" i="1"/>
  <c r="L114" i="1"/>
  <c r="K113" i="1"/>
  <c r="P113" i="1" s="1"/>
  <c r="P112" i="1"/>
  <c r="P111" i="1"/>
  <c r="P110" i="1"/>
  <c r="P109" i="1"/>
  <c r="P108" i="1"/>
  <c r="P107" i="1"/>
  <c r="P104" i="1"/>
  <c r="L100" i="1"/>
  <c r="P100" i="1" s="1"/>
  <c r="P99" i="1"/>
  <c r="P98" i="1"/>
  <c r="P97" i="1"/>
  <c r="P96" i="1"/>
  <c r="P95" i="1"/>
  <c r="K94" i="1"/>
  <c r="P94" i="1" s="1"/>
  <c r="P93" i="1"/>
  <c r="P92" i="1"/>
  <c r="M91" i="1"/>
  <c r="P89" i="1"/>
  <c r="P88" i="1"/>
  <c r="K87" i="1"/>
  <c r="P87" i="1" s="1"/>
  <c r="P86" i="1"/>
  <c r="L84" i="1"/>
  <c r="P84" i="1" s="1"/>
  <c r="P83" i="1"/>
  <c r="P82" i="1"/>
  <c r="P81" i="1"/>
  <c r="P80" i="1"/>
  <c r="P79" i="1"/>
  <c r="P78" i="1"/>
  <c r="P77" i="1"/>
  <c r="P74" i="1"/>
  <c r="P73" i="1"/>
  <c r="P71" i="1"/>
  <c r="L69" i="1"/>
  <c r="P69" i="1" s="1"/>
  <c r="P68" i="1"/>
  <c r="P67" i="1"/>
  <c r="M66" i="1"/>
  <c r="P65" i="1"/>
  <c r="P64" i="1"/>
  <c r="P63" i="1"/>
  <c r="K62" i="1"/>
  <c r="P62" i="1" s="1"/>
  <c r="K61" i="1"/>
  <c r="P61" i="1" s="1"/>
  <c r="P60" i="1"/>
  <c r="P59" i="1"/>
  <c r="P57" i="1"/>
  <c r="P56" i="1"/>
  <c r="P55" i="1"/>
  <c r="P54" i="1"/>
  <c r="P53" i="1"/>
  <c r="P52" i="1"/>
  <c r="P51" i="1"/>
  <c r="P50" i="1"/>
  <c r="P49" i="1"/>
  <c r="P48" i="1"/>
  <c r="P45" i="1"/>
  <c r="P43" i="1"/>
  <c r="P42" i="1"/>
  <c r="P41" i="1"/>
  <c r="P40" i="1"/>
  <c r="P39" i="1"/>
  <c r="P38" i="1"/>
  <c r="P37" i="1"/>
  <c r="P36" i="1"/>
  <c r="P35" i="1"/>
  <c r="P34" i="1"/>
  <c r="N33" i="1"/>
  <c r="P33" i="1" s="1"/>
  <c r="P32" i="1"/>
  <c r="P31" i="1"/>
  <c r="P30" i="1"/>
  <c r="P29" i="1"/>
  <c r="K28" i="1"/>
  <c r="P28" i="1" s="1"/>
  <c r="K27" i="1"/>
  <c r="P27" i="1" s="1"/>
  <c r="P26" i="1"/>
  <c r="O25" i="1"/>
  <c r="P25" i="1" s="1"/>
  <c r="P24" i="1"/>
  <c r="P23" i="1"/>
  <c r="K22" i="1"/>
  <c r="P22" i="1" s="1"/>
  <c r="P21" i="1"/>
  <c r="P20" i="1"/>
  <c r="M19" i="1"/>
  <c r="N19" i="1" s="1"/>
  <c r="P18" i="1"/>
  <c r="P17" i="1"/>
  <c r="P16" i="1"/>
  <c r="P15" i="1"/>
  <c r="P14" i="1"/>
  <c r="P13" i="1"/>
  <c r="P12" i="1"/>
  <c r="L11" i="1"/>
  <c r="P11" i="1" s="1"/>
  <c r="P10" i="1"/>
  <c r="P272" i="1" l="1"/>
  <c r="P90" i="1"/>
  <c r="P314" i="1"/>
  <c r="P58" i="1"/>
  <c r="P19" i="1"/>
  <c r="P390" i="1"/>
  <c r="P400" i="1" s="1"/>
  <c r="P85" i="1"/>
  <c r="N406" i="1"/>
  <c r="P406" i="1" s="1"/>
  <c r="P433" i="1" s="1"/>
  <c r="N349" i="1"/>
  <c r="O349" i="1" s="1"/>
  <c r="M330" i="1"/>
  <c r="P330" i="1" s="1"/>
  <c r="P305" i="1"/>
  <c r="M286" i="1"/>
  <c r="N286" i="1" s="1"/>
  <c r="O286" i="1" s="1"/>
  <c r="M281" i="1"/>
  <c r="N281" i="1" s="1"/>
  <c r="O281" i="1" s="1"/>
  <c r="N252" i="1"/>
  <c r="P252" i="1" s="1"/>
  <c r="P230" i="1"/>
  <c r="M221" i="1"/>
  <c r="N221" i="1" s="1"/>
  <c r="M219" i="1"/>
  <c r="N219" i="1" s="1"/>
  <c r="P206" i="1"/>
  <c r="N212" i="1"/>
  <c r="P212" i="1" s="1"/>
  <c r="M202" i="1"/>
  <c r="N202" i="1" s="1"/>
  <c r="M200" i="1"/>
  <c r="P190" i="1"/>
  <c r="M155" i="1"/>
  <c r="N155" i="1" s="1"/>
  <c r="P146" i="1"/>
  <c r="M114" i="1"/>
  <c r="P114" i="1" s="1"/>
  <c r="N102" i="1"/>
  <c r="O102" i="1" s="1"/>
  <c r="N103" i="1"/>
  <c r="P103" i="1" s="1"/>
  <c r="N91" i="1"/>
  <c r="P91" i="1" s="1"/>
  <c r="O72" i="1"/>
  <c r="N66" i="1"/>
  <c r="P66" i="1" s="1"/>
  <c r="P255" i="1" l="1"/>
  <c r="P349" i="1"/>
  <c r="P368" i="1" s="1"/>
  <c r="P286" i="1"/>
  <c r="P281" i="1"/>
  <c r="P221" i="1"/>
  <c r="P219" i="1"/>
  <c r="P202" i="1"/>
  <c r="P200" i="1"/>
  <c r="P155" i="1"/>
  <c r="P102" i="1"/>
  <c r="P101" i="1"/>
  <c r="P72" i="1"/>
  <c r="P44" i="1"/>
  <c r="P434" i="1" l="1"/>
  <c r="P228" i="1"/>
  <c r="P288" i="1"/>
  <c r="P615" i="1" l="1"/>
</calcChain>
</file>

<file path=xl/sharedStrings.xml><?xml version="1.0" encoding="utf-8"?>
<sst xmlns="http://schemas.openxmlformats.org/spreadsheetml/2006/main" count="5502" uniqueCount="1381">
  <si>
    <t>Հ/Հ</t>
  </si>
  <si>
    <t>Միջոցառումների կատարմանն ուղղված գործողություններ</t>
  </si>
  <si>
    <t>Առկա իրավիճակի նկարագրություն</t>
  </si>
  <si>
    <t>Կատարողականության ցուցիչներ</t>
  </si>
  <si>
    <t>Արդյունքային ցուցանիշներ</t>
  </si>
  <si>
    <t>Արդյունքային ցուցանիշներից թույլատրելի շեղումներ</t>
  </si>
  <si>
    <t>Միջոցառումների վերջնաժամկետներ</t>
  </si>
  <si>
    <t>Նպատակ 1. Անվտանգ և ապահով</t>
  </si>
  <si>
    <t>Ենթանպատակ 1․1․ Բնակչության պաշտպանություն և սահմանների անվտանգություն</t>
  </si>
  <si>
    <t>Ենթանպատակ 1․2․ Ապահով առևտուր</t>
  </si>
  <si>
    <t>Ենթանպատակ 1․3. Հսկողական ենթակառուցվածքների արդիականացում</t>
  </si>
  <si>
    <t>Ենթանպատակ 1․4․ Միջազգային ստանդարտների և պարտավորությունների համապատասխանություն</t>
  </si>
  <si>
    <t>Ենթանպատակ 1․5․ Հանրության մոտ վստահության ամրապնդում և համապատասխանություն</t>
  </si>
  <si>
    <t>Նպատակ 2. Հարմարավետ</t>
  </si>
  <si>
    <t>Ենթանպատակ 2.1. Առևտրի դյուրացում և մրցունակություն</t>
  </si>
  <si>
    <t xml:space="preserve">Ենթանպատակ 2.2 Բարենպաստ լոգիստիկ հանգույց </t>
  </si>
  <si>
    <t xml:space="preserve">Ենթանպատակ 2.3․ Ընդլայնված ծառայությունների շրջանակ </t>
  </si>
  <si>
    <t>Նպատակ 3. Նորարար</t>
  </si>
  <si>
    <t>Ենթանպատակ 3.1․ Առաջադեմ էլեկտրոնային կառավարման համակարգեր</t>
  </si>
  <si>
    <t>Ենթանպատակ 3.2․ Տվյալների վերլուծություն՝ ռիսկերի վրա հիմնված թիրախավորման համար</t>
  </si>
  <si>
    <t>Ենթանպատակ 3.3․ Արհեստական բանականության (AI) և մեքենայական ուսուցման (ML) օգտագործումը արդյունավետ հսկողություն իրականացնելու նպատակով</t>
  </si>
  <si>
    <t>Ենթանպատակ 3.4․ Թվային ծառայություններ</t>
  </si>
  <si>
    <t>Նպատակ 4. Թիմ</t>
  </si>
  <si>
    <t>ՀՀ ՊԵԿ մաքսային մարմնի ՏՏ ենթակառուցվածքների (սերվերներ, տվյալների պահոցներ, անվտանգության գործիքակազմ և այլն) գույքագրում, կարիքների վերհանում, ձեռքբերման աշխատանքների նախաձեռնում</t>
  </si>
  <si>
    <t>Մաքսային և հարկային ռիսկերի կառավարման համակարգերի ներդաշնակեցում՝ տվյալների փոխանակման, վերլուծության և արդյունավետ թիրախավորման նպատակով</t>
  </si>
  <si>
    <t>«Մաքսային վճարների միասնական  հաշիվ» համակարգի ներդրում, այդ թվում ապահովելով հաշվին փոխանցված գումարների իրական ժամանակին մոտ ժամանակում արտացոլում համակարգում, վճարումների և պարտավորությունների ավտոմատացված համադրում, մաքսային տույժերի ինքնաշխատ հաշվարկում</t>
  </si>
  <si>
    <t>3.1.1</t>
  </si>
  <si>
    <t>3.1.2</t>
  </si>
  <si>
    <t>3.1.3</t>
  </si>
  <si>
    <t>3.1.6</t>
  </si>
  <si>
    <t>3.2.1</t>
  </si>
  <si>
    <t>3.2.2</t>
  </si>
  <si>
    <t>3.2.4</t>
  </si>
  <si>
    <t>3.2.5</t>
  </si>
  <si>
    <t>3.3.1</t>
  </si>
  <si>
    <t>3.3.2</t>
  </si>
  <si>
    <t>3.3.3</t>
  </si>
  <si>
    <t>3.3.4</t>
  </si>
  <si>
    <t>3.3.5</t>
  </si>
  <si>
    <t>3.3.6</t>
  </si>
  <si>
    <t>3.4.1</t>
  </si>
  <si>
    <t>3.4.2</t>
  </si>
  <si>
    <t>3.4.3</t>
  </si>
  <si>
    <t>3.4.4</t>
  </si>
  <si>
    <t>3.4.5</t>
  </si>
  <si>
    <t>Արդիականացված տվյալների անվտանգության մեխանիզմներ, բարելավված պահեստավորման հզորություն</t>
  </si>
  <si>
    <t>ՊԵԿ</t>
  </si>
  <si>
    <t>Համակարգերի աշխատանքի անխափանության մակարդակի, օգտատերերի գոհունակության, տվյալների մշակման արդյունավետության և ՏՏ անվտանգության չափանիշներին համապատասխանության  մակարդակներ</t>
  </si>
  <si>
    <t>Արդիականացում պահանջող համակարգերի համար աշխատանքի, ֆունկցիոնալության բարելավման, օգտատերերի գոհունակության բարձրացման, տվյալների մշակման արդյունավետության և ՏՏ անվտանգության բարձրացման սահմանված չափանիշներ</t>
  </si>
  <si>
    <t>ա. գործընթացի իրականացման հնարավոր խնդիրների և ռիսկերի վերհանում</t>
  </si>
  <si>
    <t>բ. տեխնիկական նկարագրերի կազմում</t>
  </si>
  <si>
    <t>ե․ տեխնիկական առաջադրանքի կազմում և հաստատում</t>
  </si>
  <si>
    <t>գ. ՊԵԿ էլեկտրոնային կառավարման համակարգի զարգացման և կատարելագործման խորհրդի որոշման հիման վրա՝ ՊԵԿ նախագահի հրամանով տեխնիկական նկարագրերի հաստատում</t>
  </si>
  <si>
    <t xml:space="preserve">ա․ ՊԵԿ ՏՏ ենթակառուցվածքի համապարփակ ուսումնասիրություն
</t>
  </si>
  <si>
    <t>զ. համակարգի մշակում, ծրագրավորում</t>
  </si>
  <si>
    <t>է. համակարգի պիլոտային շահագործում</t>
  </si>
  <si>
    <t>ը. համակարգի հանձնում շահագործման</t>
  </si>
  <si>
    <t>Մաքսային պարտավորությունների ձևավորման և մարման ընթացակարգերի ավտոմատացում՝ մաքսային միասնական համակարգի ներդրման շրջանակներում</t>
  </si>
  <si>
    <t>Մաքսային միասնական համակարգի միջոցով պարտավորությունների կառավարումը կազմում է 100%</t>
  </si>
  <si>
    <t>դ․ տեխնիկական առաջադրանքի կազմում և հաստատում</t>
  </si>
  <si>
    <t>ե. համակարգի մշակում, ծրագրավորում</t>
  </si>
  <si>
    <t>Ռիսկային էքսպրես-բեռների նկատմամբ իրականացվում է թիրախավորված մաքսային հսկողություն</t>
  </si>
  <si>
    <t>ա. տեխնիկական նկարագրերի կազմում</t>
  </si>
  <si>
    <t>բ. ՊԵԿ էլեկտրոնային կառավարման համակարգի զարգացման և կատարելագործման խորհրդի կողմից տեխնիկական նկարագրերի հաստատում</t>
  </si>
  <si>
    <t>զ. համակարգի պիլոտային շահագործում</t>
  </si>
  <si>
    <t>է. համակարգի հանձնում շահագործման</t>
  </si>
  <si>
    <t>ը. նոր գործիքակազմի հնարավորությունների հիման վրա ռիսկի պրոֆիլների մշակում</t>
  </si>
  <si>
    <t>Իրականացվում է թիրախավորված մաքսային հսկողություն</t>
  </si>
  <si>
    <t>Արտաքին տնտեսական գործունեությանն առնչվող բոլոր փաստաթղթերի, այդ թվում՝ էլեկտրոնային եղանակով ներկայացվող տվյալների թվայնացում, հավաքագրվող տվյալների վերլուծություն և ռիսկերի կառավարման համակարգում կիրառում</t>
  </si>
  <si>
    <t>ա․ թվայնացման ենթակա փաստաթղթերի և տվյալների վերհանման նպատակով տեխնիկատնտեսական հիմնավորման մշակում</t>
  </si>
  <si>
    <t>բ․ փաստաթղթերի և տվյալների թվայնացումը սահմանափակող հնարավոր իրավական և տեխնիկական սահմանափակումների վերհանում</t>
  </si>
  <si>
    <t>ա․ մշակված էքսպրես-բեռների հաշվառման համակարգի  պիլոտային շահագործում</t>
  </si>
  <si>
    <t>բ. համակարգի հանձնում շահագործման</t>
  </si>
  <si>
    <t>Համակարգը ներդրվել և շահագործվում է</t>
  </si>
  <si>
    <t xml:space="preserve">դ․ ոչ թվային տվյալներից, փաստաթղթերից և գործընթացներից հրաժարվելու պլանի կազմում՝ հաշվի առնելով պահանջվող ֆինանսական ռեսուրսները, արդյունավետությունը և ակնկալվող արդյունքները </t>
  </si>
  <si>
    <t>ե․ գործողությունների պլանի ներկայացում ՊԵԿ էլեկտրոնային կառավարման համակարգի զարգացման և կատարելագործման խորհրդի հաստատմանը</t>
  </si>
  <si>
    <t>Ռիսկերի կառավարման համակարգում ռիսկերի նոր պրոֆիլները մշակվել և ներդրվել են</t>
  </si>
  <si>
    <t xml:space="preserve">ա. մաքսային և հարկային ռիսկերի կառավարման համակարգերի ներդաշնակեցման հայեցակարգի մշակում, համադրելիության մոդելի ձևավորում </t>
  </si>
  <si>
    <t>բ․ մաքսային և հարկային ռիսկերի կառավարման համակարգերի ներդաշնակեցման տեխնիկական նկարագրի կազմում</t>
  </si>
  <si>
    <t>Մաքսային և հարկային ռիսկերի կառավարման համակարգերը ինտեգրվել են, համապատասխան ռիսկի պրոֆիլները մշակվել են</t>
  </si>
  <si>
    <t>Մաքսային և հարկային ռիսկերի կառավարման համակարգերի ինտեգրմամբ՝ համադրելիության մոդելի միջոցով իրականացվում է տնտեսավարող սուբյեկտների ճիշտ թիրախավորում</t>
  </si>
  <si>
    <t>Մաքսային և հարկային ռիսկերի կառավարման համակարգերի ներդաշնակեցման արդյունքում հնարավորություն կստեղծվի համախմբել մաքսային և հարկային վարչարարության գործիքակազմը, ինչի արդյունքում արդյունավետ կթիրախավորվեն այն տնտեսավարող սուբյեկտները, որոնք հակված են իրականացնել մաքսային իրավախախտումներ (օրինակ մաքսային արժեքի ցածր հայտարարագրում), ինչը համապատասխանաբար հանգեցնում է հարկային պարտավորությունների նվազեցմանը</t>
  </si>
  <si>
    <t>բ. արտաքին տեղեկատվական աղբյուրների, համակարգերի համապատասխանության, հուսալիության և հասանելիության գնահատում</t>
  </si>
  <si>
    <t>Ռիսկերի կառավարման համակարգի ինտեգրման գործողությունների պլան</t>
  </si>
  <si>
    <t>ա․ տեխնիկատնտեսական հիմնավորման իրականացում՝ գնահատելու անոմալիաների ավտոմատ հայտնաբերման մեխանիզմ ներդնելու շրջանակները և պահանջները</t>
  </si>
  <si>
    <t>բ. ներկայիս տվյալների հավաքագրման, պահպանման և մշակման բազայի և ենթակառուցվածքների գնահատում</t>
  </si>
  <si>
    <t>գ. անոմալիաների ավտոմատ հայտնաբերման մեխանիզմի մշակման հայեցակարգի մշակում</t>
  </si>
  <si>
    <t>Անոմալիաների ավտոմատ հայտնաբերման մեխանիզմի մշակման հայեցակարգ</t>
  </si>
  <si>
    <t>Անոմալիաների ավտոմատ հայտնաբերման մեխանիզմի մշակման հայեցակարգը մշակված է</t>
  </si>
  <si>
    <t>գ․ արդյունավետության գնահատման արդյունքներով սահմանված պարբերականությամբ կազմել համակարգի բարելավումների և թարմեցումների առաջարկներ</t>
  </si>
  <si>
    <t xml:space="preserve">ա. «մեծ տվյալների» վերլուծության արդյունավետության գնահատման շրջանակների և չափանիշների սահմանում </t>
  </si>
  <si>
    <t>Ներկայումս ՀՀ ՊԵԿ կողմից օգտագործվում են «մեծ տվյալների» վերլուծության որոշակի մեխանիզմներ։ Միաժամանակ, դրա արդյունավետությունը շարունակական գնահատելու և արդիականացումն ապահովելու նպատակով անհրաժեշտ է ներդնել կառուցվածքային մոտեցում: Հաշվի առնելով «մեծ տվյալների» վերլուծության տեխնոլոգիաների  արագ զարգացող բնույթը, կարևոր է մշակել մեխանիզմը, որը պարբերաբար կգնահատի արդյունքները և կբացահայտի բարելավման ուղղությունները: Նման մոտեցումը հնարավորություն կտա ադապտացվել նոր մարտահրավերներին, օգտագործել նոր տեխնոլոգիաներ և պահպանել վերլուծական կարողությունների բարձր մակարդակ</t>
  </si>
  <si>
    <t>«Մեծ տվյալների» վերլուծության համակարգի արդյունավետություն և ճշգրտություն</t>
  </si>
  <si>
    <t>«Մեծ տվյալների» վերլուծության համակարգի գնահատման և արդիականացման հստակ մեխանիզմի ձևավորում</t>
  </si>
  <si>
    <t>ա․ նախնական վերլուծություն՝ պարզելու, թե մաքսային մարմնի կողմից իրականացվող որ գործառույթների արդյունավետությունն է կարող  առավել շահել մեքենայական ուսուցման գործիքների ներդրումից</t>
  </si>
  <si>
    <t>բ.  մեքենայական ուսուցման այնպիսի տեխնոլոգիաների և գործիքների ուսումնասիրություն և ընտրություն, որոնք համահունչ են ՊԵԿ գործառնական պահանջներին և նպատակներին</t>
  </si>
  <si>
    <t>գ. մշակել գոյություն ունեցող համակարգերում մեքենայական ուսուցման գործիքների ինտեգրման պլան՝ հաշվի առնելով, այդ թվում՝ անհրաժեշտ ենթակառուցվածքների արդիականացման և տվյալների նախնական մշակման անհրաժեշտությունը</t>
  </si>
  <si>
    <t>դ. մեքենայական ուսուցման գործիքակազմի ներդրման տեխնիկական նկարագրի կազմում</t>
  </si>
  <si>
    <t>ե. ՊԵԿ էլեկտրոնային կառավարման համակարգի զարգացման և կատարելագործման խորհրդի կողմից տեխնիկական նկարագրերի հաստատում</t>
  </si>
  <si>
    <t>է. տեխնիկական առաջադրանքի կազմում և հաստատում</t>
  </si>
  <si>
    <t>ը. համակարգի մշակում, ծրագրավորում</t>
  </si>
  <si>
    <t>թ. համակարգի պիլոտային շահագործում</t>
  </si>
  <si>
    <t>ժ. համակարգի հանձնում շահագործման</t>
  </si>
  <si>
    <t>ի. նոր գործիքակազմի հնարավորությունների հիման վրա թիրախավորված հսկողության իրականացում</t>
  </si>
  <si>
    <t>Մեքենայի ուսուցման գործիքների ճշգրտություն</t>
  </si>
  <si>
    <t xml:space="preserve">ա․ AI և ML տեխնոլոգիաների ներդրման ոլորտում մասնագիտացած արտաքին փորձագետների ներգրավում </t>
  </si>
  <si>
    <t>բ. արտաքին փորձագետների և ներքին շահագրգիռ կողմերի հետ համատեղ քննարկումների կազմակերպում՝ մաքսային ոլորտում AI և ML տեխնոլոգիաների հնարավոր կիրառությունները բացահայտելու նպատակով</t>
  </si>
  <si>
    <t>գ․ մաքսային մարմնի ընթացակարգերի և գործընթացների մանրակրկիտ վերլուծություն՝ բացահայտելու ոլորտները, որտեղ AI և ML տեխնոլոգիաները կարող են բերել զգալի բարելավումներ</t>
  </si>
  <si>
    <t>դ. մշակել համապարփակ հայեցակարգային փաստաթուղթ, որը կնախանշի AI և ML տեխնոլոգիաների ինտեգրման ռազմավարությունը, նպատակները և իրականացման ճանապարհային քարտեզը</t>
  </si>
  <si>
    <t>ե․ AI և ML տեխնոլոգիաների կիրառման հայեցակարգի հաստատում ՊԵԿ էլեկտրոնային կառավարման համակարգի զարգացման և կատարելագործման խորհրդի կողմից</t>
  </si>
  <si>
    <t>Արհեստական բանականության (AI) և մեքենայական ուսուցման (ML)   տեխնոլոգիաների կիրառման հայեցակարգ</t>
  </si>
  <si>
    <t>Արհեստական բանականության (AI) և մեքենայական ուսուցման (ML)   տեխնոլոգիաների կիրառման հայեցակարգը մշակված է</t>
  </si>
  <si>
    <t>Հաշվի առնելով տեխնոլոգիաների զարգացման միտումները և դրանց կիրառման լայն հնարավորությունները մաքսային հսկողության արդյունավետության բարձրացման համար, նպատակահարմար է իրականացնել արհեստական բանականության (AI) և մեքենայական ուսուցման (ML) կիրառման հայեցակարգի մշակում։ Ոլորտում  առաջատար մասնագետների ներգրավումը կապահովի վերջին տեխնոլոգիական լուծումների և մոդելների կիրառումը ՊԵԿ մաքսային ծառայության համար</t>
  </si>
  <si>
    <t xml:space="preserve">ա․ Արհեստական բանականության (AI) և մեքենայական ուսուցման (ML)   տեխնոլոգիաների կիրառման հայեցակարգով սահմանված պահանջների հիման վրա ՏՏ ենթակառուցվածքի համապատասխանության գնահատում
</t>
  </si>
  <si>
    <t>բ․ տեխնոլոգիական, անվտանգային, տվյալների պահպանության, ենթակառուցվածքային (այդ թվում՝ սերվերային) բացերի վերհանում</t>
  </si>
  <si>
    <t>Ներկայիս ՊԵԿ ՏՏ ենթակառուցվածքը կարող է լիովին չբավարարել զարգացած AI և ML տեխնոլոգիաների պահանջներին, որոնց ներդրման համար անհրաժեշտ են  տվյալների պահպանման, մշակման զգալի հզորություն, սերվերային և ցանցային առաջադեմ հնարավորություններ: Քանի որ այս տեխնոլոգիաները կարևոր են մաքսային գործառնությունների արդյունավետության բարձրացման համար նպատակահարմար է իրականացնել առկա ենթակառուցվածքի մանրակրկիտ գնահատում՝ որոշելու արդիականացման ծավալները, որոնք անհրաժեշտ են AI և ML տեխնոլոգիաների ներդրման համար</t>
  </si>
  <si>
    <t>Արհեստական բանականության (AI) և մեքենայական ուսուցման (ML)  տեխնոլոգիաների ներդրման համար ՏՏ ենթակառուցվածքի արդիականացման պլան</t>
  </si>
  <si>
    <t xml:space="preserve">ՊԵԿ ՏՏ ենթակառուցվածքի արդիականացման պլանը հաստատված է </t>
  </si>
  <si>
    <t>ա.  մաքսային տեղեկատվական բազաներում առկա տվյալների համապարփակ աուդիտ՝ գնահատելու մաքրությունը, ձևաչափերին համապատասխանությունը և կառուցվածքը գնահատելու համար</t>
  </si>
  <si>
    <t>բ. տվյալների «մաքրման» ընթացակարգերի  մշակում և իրականացում՝ վերացնելու անճշտությունները, կրկնօրինակները և անպետքական տվյալները</t>
  </si>
  <si>
    <t>գ․  տվյալների ձևաչափերի և կառուցվածքի ստանդարտացման մոդելի մշակում՝ ապահովելու հետևողականություն և համատեղելիություն AI ալգորիթմների հետ</t>
  </si>
  <si>
    <t>դ. տվյալների բազաների, կառուցվածքի փոփոխում կամ վերանախագծում՝  AI և ML մշակման անհրաժեշտ մասով</t>
  </si>
  <si>
    <t>Մաքսային մարմնի տվյալների բազաներում տվյալների ներկայիս վիճակը կարող է լիովին օպտիմիզացված չլինել AI տեխնոլոգիաների հետ հեմատեղելիության համար: Տվյալների ոչ բավարար «մաքրությունը» և ձևաչափերի անհամապատասխանությունները կարող են զգալիորեն խոչընդոտել AI ալգորիթմների կիրառման արդյունավետությանը: Քանի որ AI և ML տեխնոլոգիաները մեծապես հիմնվում են  տվյալների ճշգրտության վրա, շատ կարևոր է ապահովել տվյալների ոչ միայն համապատասխանությունը սահմանված ձևաչափերին, այլև ապահովել այնպիսի կառուցվածք , որպեսզի ներդրվող գործիքները հնարավորություն ունենան արդյունավետորեն մշակել և վերլուծել դրանք: Այս խնդիրների լուծումը կենսական նշանակություն ունի մաքսային գործառնություններում AI-ի ողջ ներուժը ներդնելու համար</t>
  </si>
  <si>
    <t>AI ալգորիթմերի ներդրման համար տվյալների բազաների ստուգված և «մաքրված» տվյալներ</t>
  </si>
  <si>
    <t>ե. տվյալների որակի և կառուցվածքի համապատասխանության պահպանման մոնիթորինգի իրականացում</t>
  </si>
  <si>
    <t xml:space="preserve"> ա․արհեստական բանականության (AI)  վրա հիմնված կանխատեսող վերլուծական գործիքների ուսումնասիրություն և այնպիսի գործիքների առանձնացում, որոնք համապատասխանում են ՊԵԿ մաքսային մարմնի կողմից սահմանված պահանջներին</t>
  </si>
  <si>
    <t>Հաշվի առնելով միջազգային առևտրային հոսքերի և միտումների հնարավոր կտրուկ փոփոխությունները՝ կանխատեսումների իրականացման ներկայիս մոտեցումները կարող են բավարար արդյունավետություն չապահովել: Արդյունքում՝ անհրաժեշտություն է առաջանում անցում կատարել ավելի առաջադեմ մոդելների և ներդնել արհեստական բանականության վրա հիմնված կանխատեսող վերլուծական գործիքակազմ՝ բարձրացնելու ճշգրիտ կանխատեսումների իրականացման և դրան համապատասխան միջոցների ձեռնարկման, հիմնավորված որոշումների կայացման, կառավարման կարողությունները</t>
  </si>
  <si>
    <t xml:space="preserve"> Արհեստական բանականության  վրա հիմնված կանխատեսող վերլուծական գործիքակազմի ներդրման հայեցակարգ</t>
  </si>
  <si>
    <t xml:space="preserve"> Արհեստական բանականության  վրա հիմնված կանխատեսող վերլուծական գործիքակազմի ներդրման հայեցակարգը մշակված է</t>
  </si>
  <si>
    <t>դ. ՊԵԿ էլեկտրոնային կառավարման համակարգի զարգացման և կատարելագործման խորհրդի կողմից տեխնիկական նկարագրերի հաստատում</t>
  </si>
  <si>
    <t>գ. Համաձայնեցված պահանջներին համապատասխան տեխնիկական նկարագրերի կազմում</t>
  </si>
  <si>
    <t>զ․ տեխնիկական առաջադրանքի կազմում և հաստատում</t>
  </si>
  <si>
    <t>է. համակարգի մշակում, ծրագրավորում</t>
  </si>
  <si>
    <t>ը. համակարգի պիլոտային շահագործում</t>
  </si>
  <si>
    <t>թ․ համակարգի հանձնում շահագործման</t>
  </si>
  <si>
    <t>Օգտվողների կարիքներին բավարարող կայքը մշակված և ներդրված է</t>
  </si>
  <si>
    <t>ա․  իրավական ակտի նախագծի մշակում՝ նախատեսելով  ՊԵԿ կայք էջում պարբերաբար և ըստ անհրաժեշտության թարմացումներ իրականացնելու մեխանիզմները</t>
  </si>
  <si>
    <t>բ․  հստակ դերերի և պարտականությունների սահմանում՝ կայքի թարմացման և մոնիտորինգի գործընթացներում ներգրավված աշխատակիցների համար</t>
  </si>
  <si>
    <t>դ․ օգտվողներից  հետադարձ կապի ստացման և մշակման մեխանիզմի մշակում, որը թույլ կտա օգտվողներին հայտնել խնդիրների մասին կամ առաջարկել բարելավումներ</t>
  </si>
  <si>
    <t>ե․ հավաքագրված արձագանքների ուսումնասիրության պարբերականության սահմանում, դրանց ներառում կանոնավոր թարմացման ժամանակացույցում (նպատակահարմարության դեպքում)՝ ապահովելով կայքի համապատասխանությունը օգտատերերի կարիքներին</t>
  </si>
  <si>
    <t xml:space="preserve">ա․ պահանջվող աշխատանքների ծավալի գնահատում
</t>
  </si>
  <si>
    <t>բ․ կայքում անհրաժեշտ փոփոխության իրականացման տեխնիկական հնարավորության գնահատում</t>
  </si>
  <si>
    <t xml:space="preserve">գ․ աշխատանքների նախատեսում կայքի պարբերական բարելավումների  ժամանակացույցում  
</t>
  </si>
  <si>
    <t>դ․ կայքում համապատասխան ֆունկցիոնալության ապահովում</t>
  </si>
  <si>
    <t xml:space="preserve">ՊԵԿ կայք էջի արդիականացումը և նոր ֆունկցիոնալությամբ ապահովումը կհամալրի օգտվողների շրջանակը, կբարելավի գոհունակությունը </t>
  </si>
  <si>
    <t>Նոր ֆունկցիոնալությամբ կայք</t>
  </si>
  <si>
    <t>գ. ՊԵԿ էլեկտրոնային կառավարման համակարգի զարգացման և կատարելագործման խորհրդի կողմից տեխնիկական նկարագրերի հաստատում</t>
  </si>
  <si>
    <t>է․ համակարգի պիլոտային շահագործում</t>
  </si>
  <si>
    <t>բ․ համանման տեխնոլոգիական լուծումների ներդրման փորձ ունեցող երկրների մաքսային մարմինների հետ փորձի փոխանակման կազմակերպում</t>
  </si>
  <si>
    <t>դ. տեխնիկական նկարագրերի կազմում</t>
  </si>
  <si>
    <t>է․ տեխնիկական առաջադրանքի կազմում և հաստատում</t>
  </si>
  <si>
    <t>ի. համապատասխան ռիսկի պրոֆիլների մշակում և ներդրում Ռիսկերի կառավարման համակարգում</t>
  </si>
  <si>
    <t>Արդիականացված մաքսային կետ</t>
  </si>
  <si>
    <t>1.1.1</t>
  </si>
  <si>
    <t>1.1.3</t>
  </si>
  <si>
    <t>1.1.4</t>
  </si>
  <si>
    <t>1.1.5</t>
  </si>
  <si>
    <t>1.2.5</t>
  </si>
  <si>
    <t>1.3.2</t>
  </si>
  <si>
    <t>1.3.4</t>
  </si>
  <si>
    <t>1.4.1</t>
  </si>
  <si>
    <t>1.4.2</t>
  </si>
  <si>
    <t>1.4.3</t>
  </si>
  <si>
    <t>1.4.5</t>
  </si>
  <si>
    <t>1.5.1</t>
  </si>
  <si>
    <t>1.5.2</t>
  </si>
  <si>
    <t>1.5.3</t>
  </si>
  <si>
    <t>1.6.2</t>
  </si>
  <si>
    <t>1.6.4</t>
  </si>
  <si>
    <t>1.6.5</t>
  </si>
  <si>
    <t>1.6.6</t>
  </si>
  <si>
    <t>ա․ մաքսային լաբորատորիաների ստեղծման նպատակահարմարության գնահատում</t>
  </si>
  <si>
    <t xml:space="preserve">բ․  փորձաքննվող ապրանքների և նյութերի շրջանակի որոշում (անհրաժեշտության դեպքում) </t>
  </si>
  <si>
    <t>դ. անհրաժեշտ ֆինանսական միջոցների ներգրավման նպատակով աշխատանքների իրականացում</t>
  </si>
  <si>
    <t>զ. տեղակայման վայրերի որոշում և նախապատրաստում</t>
  </si>
  <si>
    <t>ը. փորձագետների հավաքագրում</t>
  </si>
  <si>
    <t>է․ աշխատանքի կանոնների, գործառույթների, բիզնես գործընթացների, ստանդարտների սահմանում</t>
  </si>
  <si>
    <t>Մաքսային փորձագետի ինստիտուտը ներդրվել է</t>
  </si>
  <si>
    <t xml:space="preserve">ՊԵԿ կինոլոգիական կենտրոնը համապատասխանեցվել է ժամանակակից չափանիշներին </t>
  </si>
  <si>
    <t>ա. առկա ենթակառուցվածքների գույքագրում, նոր սարքավորումների ձեռքբերման կարիքների գնահատում, պահանջների հստակեցում</t>
  </si>
  <si>
    <t>բ. անհրաժեշտ ենթակառուցվածքներով, սարքավորումներով համալրման գործողությունների ծրագրի, նախագծի մշակում և ներկայացում միջազգային ֆինանսական ինստիտուտներին</t>
  </si>
  <si>
    <t>դ. մաքսային հսկողության համար անհրաժեշտ սարքավորումների ձեռքբերում</t>
  </si>
  <si>
    <t>ե. սարքավորումների շահագործման վերաբերյալ դասընթացների կազմակերպում</t>
  </si>
  <si>
    <t>զ. սարքավորումների շահագործում և մոնիթորինգ</t>
  </si>
  <si>
    <t>Մաքսային մարմինները համալրվել են անհրաժեշտ սարքավորումներով</t>
  </si>
  <si>
    <t>ԵԱՏՄ շրջանակներում մաքսային ընդհանուր գործընթացների իրականացման և տեղեկատվության փոխանակման համար համակարգերի արդիականացում, ներդրում և ինտեգրում ավտոմատացված համակարգերին</t>
  </si>
  <si>
    <t>բ․ համակարգերի տեխնիկական նկարագրերի կազմում</t>
  </si>
  <si>
    <t>ե․ յուրաքանչյուր ընդհանուր գործընթացի համար ԵՏՀ կողմից մշակված տեխնոլոգիական փաստաթղթերի հիման վրա բիզնես գործընթացների ուսումնասիրություն,</t>
  </si>
  <si>
    <t>զ․ տեխնիկական առաջադրանքների կազմում և հաստատում</t>
  </si>
  <si>
    <t>է. համակարգերի մշակում, ծրագրավորում</t>
  </si>
  <si>
    <t>ը. համակարգերի պիլոտային շահագործում</t>
  </si>
  <si>
    <t>թ. համակարգերի հանձնում շահագործման</t>
  </si>
  <si>
    <t>ԵԱՏՄ կողմից ներդրված և շահագործման ենթակա ընդհանուր գործընթացներին միացվածություն</t>
  </si>
  <si>
    <t>ա․  արտաքին տեղեկատվական աղբյուրների, համակարգերի ուսումնասիրություն, որոնց հետ փոխգործակցությունը կնպաստի ռիսկերի կառավարման համակարգի արդյունավետության բարձրացման</t>
  </si>
  <si>
    <t xml:space="preserve">ա․ «Մաքսային իրավախախտումների միասնական շտեմարան» համակարգի պիլոտային շահագործման արդյունքների ամփոփում </t>
  </si>
  <si>
    <t>բ․ համակարգի գործարկում, կիրառում և աշխատանքի մշտադիտարկում</t>
  </si>
  <si>
    <t>գ․ նոր գործիքակազմի հնարավորությունների հիման վրա ռիսկի պրոֆիլների մշակում</t>
  </si>
  <si>
    <t>Համակարգը մշակվել և ներդրվել է</t>
  </si>
  <si>
    <t>Ռիսկերի կառավարման համակարգում իրականացվում է տնտեսավարող սուբյեկտների իրավախախտումների պատմության վերլուծություն և վերջիններիս թիրախավորում</t>
  </si>
  <si>
    <t>բ․ համակարգի աշխատանքի մշտադիտարկում, անհրաժեշտության դեպքում կատարելագործման առաջարկների մշակում</t>
  </si>
  <si>
    <t>Նվազագույնի է հասցվել անմիջական շփումը հայտարարատուների (մաքսային ներկայացուցիչների) և մաքսային մարմնի աշխատակիցների միջև, ինչը նպաստում է նաև մաքսատուն-վարչություններում  հերթերի կրճատմանը</t>
  </si>
  <si>
    <t>Մաքսային մարմիններում հերթերի գոյացման բացառման նպատակով, անցում հեռավար մաքսային մարմնի, ապահովելով փաստաթղթային հսկողության իրականացում էլեկտրոնային գործիքակազմի կիրառմամբ, մաքսային հսկողության բոլոր ուղիների համար, բոլոր այն դեպքերում երբ հայտարարագրին կից փաստաթղթերի իսկության վերաբերյալ կասկածներ չեն առաջանում</t>
  </si>
  <si>
    <t>ա․ «Խելացի ռիսկերի կառավարում» համակարգի հայեցակարգի և աշխատանքների շրջանակների, պահանջների սահմանում</t>
  </si>
  <si>
    <t>գ․ համապատասխան մասնագետների ներգրավմամբ՝ մշակել լ մաքսային ռիսկի պրոֆիլների մշակման/ ձևավորման ավտոմատացման մեխանիզմների ներդրման հնարավորությունը</t>
  </si>
  <si>
    <t>Միջոցառումներ</t>
  </si>
  <si>
    <t>Խնդիրները վերհանվել և ներկայացվել են առաջարկություններ</t>
  </si>
  <si>
    <t>Էլեկտրոնային հսկողության մեխանիզմները կատարելագործվել են</t>
  </si>
  <si>
    <t>ա. մաքսային գործառնությունների իրականացման համար կիրառվող պետական տուրքի դրույքաչափերի համեմատական (ԵԱՏՄ անդամ երկրներում կիրառվող կարգավորումների հետ) վերլուծություն, ըստ անհրաժեշտության, համապատասխան օրենսդրական առաջարկությունների մշակում և հետագա ընթացքի ապահովում</t>
  </si>
  <si>
    <t xml:space="preserve">Նախագիծը մշակվել և ներկայացվել է ՀՀ կառավարություն </t>
  </si>
  <si>
    <t>Սահմանվել են մատուցվող ծառայություններին ու տնտեսական իրավիճակին համարժեք պետական տուրքի դրույքաչափեր</t>
  </si>
  <si>
    <t>Մաքսատուրքերի բաշխման կիրառվող և առաջարկվող մեթոդով իրականացվել է համապարփակ վերլուծություն ԵԱՏՄ անդամ երկրների ներկա տնտեսական ցուցանիշներին համապատասխան</t>
  </si>
  <si>
    <t xml:space="preserve">Վերլուծության արդյունքները արտացոլում են ԵԱՏՄ երկրների իրական տնտեսական ցուցանիշները։ </t>
  </si>
  <si>
    <t xml:space="preserve">Առաջարկվող բաշխման մեխանիզմները համապատասխանեցվել են շահագրգիռ գերատեսչությունների հետ։ Իրավական կարգավորման առաջարկները ներկայացվել են Եվրասիական տնտեսական հանձնաժողով </t>
  </si>
  <si>
    <t>ա․  համապարփակ ուսումնասիրության իրականացում՝ բացահայտելու համապատասխան միջազգային ստանդարտները, որոնք սահմանում են ժամանակակից և արդյունավետ մաքսային մարմնի գործելակերպը և աշխատելաոճը</t>
  </si>
  <si>
    <t>բ․ վերհանված ստանդարտների համեմատություն ներկայիս պրակտիկայի, ներդրված բիզնես գործընթացների հետ և արդյունքների ամփոփում՝ անհամապատասխանությունները կամ հնարավոր բարելավման ուղղությունները բացահայտելու նպատակով</t>
  </si>
  <si>
    <t>դ․ հնարավորության դեպքում  միջազգային կառույցների հետ համագործակցություն՝ հավաստելու սահմանված պահանջների համապատասխանությունը միջազգային լավագույն փորձին,  արդի պահանջներին և զարգացման միտումներին</t>
  </si>
  <si>
    <t>ե․ մշակված ստանդարտացված գործընթացների հաստատում համապատասխան ներքին իրավական ակտով և դրան համապատասխան անձնակազմի վերապատրաստում</t>
  </si>
  <si>
    <t>Մաքսային մարմինների արդի և արդյունավետ գործելաոճը ապահովող միջազգային ստանդարտների ուսումնասիրություն, նպատակահարմարության դեպքում՝ համապատասխանության ապահովում, հնարավորության դեպքում՝ միջազգային կառույցների կողմից դրա հավաստում</t>
  </si>
  <si>
    <t>Մաքսային մարմինների գործելաոճի ստանդարտացում և համապատասխանություն</t>
  </si>
  <si>
    <t>Մաքսային մարմինների կողմից իրականացվող գործառույթները համապատասխանում են սահմանված ստանդարտներին</t>
  </si>
  <si>
    <t>Աստիճանաբար անցում ստանդարտների ամբողջական ապահովման՝ հաշվի առնելով սահմանվող միջազգային ստանդարտների բարդությունը</t>
  </si>
  <si>
    <t>ա․ մաքսային մարմնի տարբեր կառուցվածքային ստորաբաժանումների՝ սահմանված ստանդարտներին և գործելաոճի կանոններին համապատասխանության ստուգման պարբերական աուդիտների իրականացման ժամանակացույցի հաստատում</t>
  </si>
  <si>
    <t>բ․ աուդիտների շրջանակի և չափորոշիչների սահմանում՝ հաշվի առնելով մաքսային ընթացակարգերի կիրառման հետևողականության, միատեսակ աշխատելաոճի և ճշգրտության պահանջները</t>
  </si>
  <si>
    <t>դ․ աուդիտի արդյունքների ամփոփման, մշակման, փաստաթղթավորման, արդյունքները հասցեագրելու մեխանիզմի մշակում</t>
  </si>
  <si>
    <t>Աուդիտների իրականացման ժամանակացույց</t>
  </si>
  <si>
    <t>Իրականացվում են սահմանված չափանիշների համաձայն աուդիտներ՝ համաձայն ժամանակացույցի</t>
  </si>
  <si>
    <t>Միջազգային վարկանիշային ցուցակներում երկրի դիրքը բարելավելու նպատակով պարբերաբար թարմացված վիճակագրական տվյալների տրամադրում, դիրքը բարելավելու նպատակով միջոցառումների նախաձեռնում</t>
  </si>
  <si>
    <t>ա․ մաքսային մարմինների արդյունավետության  և հարակից չափանիշների (նպատակահարմարության դեպքում) գնահատման միջազգային վարկանիշային ցուցակների վերհանում</t>
  </si>
  <si>
    <t>բ․ վերհանված վարկանիշային ցուցակներում գնահատման չափանիշների ուսումնասիրություն, դրանց գույքագրում</t>
  </si>
  <si>
    <t>գ․ սահմանված պարբերականությամբ վիճակագրական տվյալների հավաքագրման, մշակման և համապատասխան կառույցների ներկայացման մեխանիզմի մշակում</t>
  </si>
  <si>
    <t>դ․ վարկանիշային ցուցակներում երկրի դիրքը բարելավելու գործուն մեխանիզմների մշակում և դրան համապատասխան գործողությունների նախաձեռնում</t>
  </si>
  <si>
    <t>ե․ անհրաժեշտության դեպքում այլ պետական մարմինների, կառույցների հետ համագործակցություն՝ սահմանված նպատակներին հասնելու, երկրի դիրքը բարելավելու նպատակով ջանքերը համախմբելու նպատակով</t>
  </si>
  <si>
    <t>Համապատասխան միջազգային կառույցներ ճշգրիտ վիճակագրական տվյալների ժամանակին ներկայացում</t>
  </si>
  <si>
    <t xml:space="preserve">ա․ կանոնավոր հանդիպումների և քննարկումների կազմակերպման ժամանակացույցի սահմանում </t>
  </si>
  <si>
    <t>բ․ շահագրգիռ կողմերի, այդ թվում՝  ներմուծողների, արտահանողների, փոխադրողների և արտաքին տնտեսական գործունեության մեջ ներգրավված այլ մասնակիցների ներգրավման մեխանիզմի մշակում</t>
  </si>
  <si>
    <t>դ․ պատասխանատու բաժնի կամ թիմի նշանակում, որը կապահովի հանդիպումների կազմակերպման, աջակցության և փաստաթղթավորման աշխատանքների իրականացումը</t>
  </si>
  <si>
    <t>ե․ շահագրգիռ կողմերին իրենց արձագանքների հիման վրա ձեռնարկված գործողությունների մասին տեղեկացում՝ ապահովելով հետադարձ կապ</t>
  </si>
  <si>
    <t>Շահագրգիռ կողմերի հետ հանդիպումների կազմակերպում և հետադարձ կապ</t>
  </si>
  <si>
    <t>ա․ համապարփակ հանրային իրազեկման ծրագրի մշակում, որը կնախանշի հիմնական հաղորդագրությունները (մեսիջները), թիրախային լսարանները և ցանկալի արդյունքները</t>
  </si>
  <si>
    <t>Հանրային իրազեկման միջոցառումներ</t>
  </si>
  <si>
    <t>գ․ մաքսային մարմնի հետ կապի, հարցումների,  դիմումների, կարծիքների ներկայացման հարթակների մասին հանրությանը իրազեկում, այդ թվում՝ նշելով, թե որ հարթակներն են գործում 24/7 ռեժիմով</t>
  </si>
  <si>
    <t>դ․ հանրության հետ փոխազդեցության ապահովման պատասխանատու թիմի կամ ստորաբաժանման և պատասխանատվության շրջանակների սահմանում</t>
  </si>
  <si>
    <t>ե․ հստակ ուղեցույցների և արձանագրությունների մշակում՝ սահմանող տարբեր տեսակի դիմումների արձագանքելու կանոնակարգերը, ներառյալ այն դեպքերում, երբ խնդիրները հնարավոր չէ լուծել</t>
  </si>
  <si>
    <t>է․ ստացված կարծիքների վերլուծության պարբերականության սահմանում, արդյունքների ամփոփման և բարելավման առաջարկների մշակման ապահովում</t>
  </si>
  <si>
    <t>Մաքսային մարմնի արձագանք ստացված և գույքագրված դիմումներին (կարծիքներ, բողոքներ, առաջարկներ և այլն)</t>
  </si>
  <si>
    <t xml:space="preserve">ա․ էթիկական ուղեցույցների համապարփակ փաթեթի մշակում՝ առանցքային նշանակություն տալով հասարակության և արտաքին տնտեսական գործունեության մասնակիցների հետ փոխհարաբերություններում պրոֆեսիոնալ, ազնիվ, փոխադարձ հարգանքով աշխատելաոճի ամրապնդմանը </t>
  </si>
  <si>
    <t>բ․ մաքսային ծառայողների համար վերապատրաստման դասընթացների կազմակերպում՝ սահմանված էթիկական չափանիշները մանրակրկիտ ներկայացնելու և դրանց հավատարիմ աշխատելաոճ սերմանելու նպատակով</t>
  </si>
  <si>
    <t>Մաքսային ծառայողների  էթիկական ուղեցույցներ</t>
  </si>
  <si>
    <t>ա. Օրենսդրական փոփոխությունների իրականացման նպատակով առաջարկությունների մշակում և հետագա ընթացքի ապահովում</t>
  </si>
  <si>
    <t>Օրենսդրական փոփոխությունների իրականացման նպատակով առաջարկություններ</t>
  </si>
  <si>
    <t>ա․ մաքսային մարմինների արդյունավետության և կարիքների գնահատման շարունակական մեխանիզմի մշակում</t>
  </si>
  <si>
    <t>բ․  թիմի կամ աշխատանքային խմբի ձևավորում, որը պատասխանատու կլինի տեղեկատվության հավաքագրման, գործընթացների արդյունավետության  գնահատման, արդյունքները վերլուծելու և արդիականացման կարիք ունեցող ոլորտները բացահայտելու համար</t>
  </si>
  <si>
    <t xml:space="preserve">գ․ կարիքների գնահատման արդյունքների վրա սահմանված պարբերականությամբ արդիականացման նախագծերի մշակում և դրանց առաջնահերթության սահմանում՝ հաշվի առնելով  ազդեցության, իրագործելիության, պահանջվող ռեսուրսների ծավալի և այլ գործոններ </t>
  </si>
  <si>
    <t xml:space="preserve">ե․ անհրաժեշտ միջոցառումների ամրագրում  ՊԵԿ ռազմավարական կամ այլ համապատասխան փաստաթղթերում </t>
  </si>
  <si>
    <t>Կարիքների վերհանման և գնահատումների հաճախականություն</t>
  </si>
  <si>
    <t>Արդիականացման նախագծերի արդյունավետ և ժամանակին բացահայտում և իրականացում</t>
  </si>
  <si>
    <t>ա․ Հեռավար մաքսային մարմին համակարգի (ենթահամակարգի) մշակման պահանջների սահմանում</t>
  </si>
  <si>
    <t xml:space="preserve"> Հայտարարագրման գործընթացի հեռավար կազմակերպման համար համակարգ</t>
  </si>
  <si>
    <t>ա․ առևտրի դյուրացման շրջանակներում պոտենցիալ գործընկերների (այդ թվում՝  այլ երկրների պետական կառույցներ, առևտրային կազմակերպություններ, տրանսպորտային օպերատորներ, ասոցիացիաներ) նույնականացում</t>
  </si>
  <si>
    <t>բ․ աշխատանքային խմբի ձևավորում՝ ուսումնասիրությունների կազմակերպման, թիրախային կառույցների ընտրման, հուշագրեր և համաձայնագրեր մշակելու և բանակցելու նպատակով</t>
  </si>
  <si>
    <t>գ․ համաձայնագրերի նպատակների ու շրջանակների սահմանում՝ թիրախավորելով մաքսային համագործակցությունը, առևտրի դյուրացումը, ստանդարտների և ընթացակարգերի փոխադարձ ճանաչումը</t>
  </si>
  <si>
    <t>դ․ բանակցությունների կազմակերպում՝ համաձայնեցնելու հուշագրերի և համաձայնագրերի պայմանները</t>
  </si>
  <si>
    <t>զ․ յուրաքանչյուր համաձայնագրի իրականացման և մոնիտորինգի պլանի մշակում, այդ թվում՝ սահմանելով կանոնավոր վերանայման և թարմացումների մեխանիզմները</t>
  </si>
  <si>
    <t xml:space="preserve">Հուշագրեր և համաձայնագրեր թիրախային գործընկերների հետ </t>
  </si>
  <si>
    <t>ե․համակարգի շրջանակներում մոնիթորինգի ենթակա յուրաքանչյուր մաքսային ընթացակարգի/ գործառույթի  բիզնես գործընթացների ուսումնասիրություն, գնահատման չափանիշների սահմանում</t>
  </si>
  <si>
    <t>ժ․ համակարգի աշխատանքի շրջանակներում հավաքագրված տվյալների վերլուծություն, արդյունքների ամփոփում և բարելավման առաջարկների մշակման պատասխանատու թիմի կամ աշխատանքային խմբի ձևավորում</t>
  </si>
  <si>
    <t>Մոնիթորինգային համակարգը մշակված և ներդրված է</t>
  </si>
  <si>
    <t>Ապրանքների և/կամ տրանսպորտային միջոցների ավտոմատ բացթողման համակարգի կիրառման շրջանակների ընդլայնում, համակարգի շարունակական մշտադիտարկում և օպտիմալացում</t>
  </si>
  <si>
    <t>Նախնական հայտարարագրման համակարգի օգտվողների աճ</t>
  </si>
  <si>
    <t>դ. տարեկան կամ կիսամյակային կտրվածքով ստուգման պլանի նախագծում և հաստատում</t>
  </si>
  <si>
    <t>ա․ապրանքների և/կամ տրանսպորտային միջոցների ավտոմատ բացթողման համակարգի կիրառման շրջանակների ընդլայնման հնարավորությունների ուսումնասիրություն</t>
  </si>
  <si>
    <t>բ․  ավտոմատ բացթողման համակարգի շրջանակների ընդլայնման համար կիրառվող գործիքակազմի չափանիշների և պայմանների հստակեցում</t>
  </si>
  <si>
    <t>գ․ նոր չափանիշների և պայմանների կիրարկում</t>
  </si>
  <si>
    <t>Ապրանքների և/կամ տրանսպորտային միջոցների ավտոմատ բացթողման գործիքակազմի չափանիշներ</t>
  </si>
  <si>
    <t>Ապրանքների և/կամ տրանսպորտային միջոցների ավտոմատ բացթողման գործիքակազմի չափանիշներն ընդլայնված են</t>
  </si>
  <si>
    <t>Ապրանքների բացթողումից հետո թիրախային ստուգումների արդի համակարգ</t>
  </si>
  <si>
    <t>Սահմանահատման ընթացակարգերի վերլուծություն, ներգրավված մարմինների և իրականացվող գործառույթների արդյունավետության գնահատում, բացերի վերհանում, օպտիմալացման առաջարկների մշակում՝ հաշվի առնելով բոլոր շահառուների կարիքներն ու պահանջները</t>
  </si>
  <si>
    <t>ա․ սահմանահատման ընթացակարգերի բիզնես գործընթացների մանրակրկիտ ուսումնասիրություն՝ թիրախավորելով ներգրավված մարմինների և նրանց կողմից իրականացվող գործառույթների վրա</t>
  </si>
  <si>
    <t xml:space="preserve">գ․ իրականացված վերլուծության հիման վրա սահմանահատման ընթացակարգերում ներգրավված մարմինների պարտականությունների շրջանակի և դրա արդյունավետության գնահատում, բացերի վերհանում </t>
  </si>
  <si>
    <t>դ․ սահմանահատման բիզնես գործընթացների բարելավման և օպտիմալացման առաջարկների մշակում, այդ թվում՝ հաշվի առնելով գործառույթների վերաբաշխման, անձնակազմի լրացուցիչ վերապատրաստման, տեղեկատվության փոխանակման, մարմինների փոխգործակցության և այլ ասպեկտները</t>
  </si>
  <si>
    <t>ե․ բիզնես գործընթացների վերակառուցման գործողությունների պլանի կազմում և համաձայնեցում շահագրգիռ մարմինների հետ՝ նախատեսելով, այդ թվում՝ փոփոխությունների պիլոտային փորձարկման կիրարկումը մինչև գործընթացների արմատական փոփոխությունների իրականացումը</t>
  </si>
  <si>
    <t>Սահմանահատման ընթացակարգերի ուսումնասիրություն, խնդիրների վերհանում</t>
  </si>
  <si>
    <t>բ․ թույլատվական փաստաթղթերի տրամադրման կարգերի,  ժամկետների, վճարների և այլ պայմանների տարբերությունների, անհամապատասխանությունների վերհանում</t>
  </si>
  <si>
    <t>գ․ հնարավորության դեպքում  թույլատվական փաստաթղթերի տրամադրման միասնական կարգավորումների, գործընթացների ստանդարտացման առաջարկների մշակում</t>
  </si>
  <si>
    <t>դ․   թույլատվական փաստաթղթերի տրամադրման միասնական կարգավորումների, գործընթացների ստանդարտացման իրավական հիմքի ապահովում</t>
  </si>
  <si>
    <t>ա․ «Տրանսպորտային միջոցների հայտարարագրերի հաշվառման, շրջանառության, հսկողության» համակարգի գործարկում և շահագործում</t>
  </si>
  <si>
    <t>Միջազգային փոխադրում իրականացնող տրանսպորտային միջոցների նկատմամբ իրականացվող հսկողության արդյունավետության բարձրացում՝ մասնավորապես մուտքի ելքի հաշվառում, գանձվող գումարներ (ճանապարհային հարկ և բնապահպանական հարկ), ՀՀ տարածքում գտնվելու ժամկետ</t>
  </si>
  <si>
    <t>ա․ «Մինչև մաքսային հայտարարագրի ներկայացումը դիմումի հիման վրա ապրանքների բացթողնման» համակարգի գործարկում և շահագործում</t>
  </si>
  <si>
    <t>Կրճատվել է ապրանքի ներմուծումից մինչև ապրանքի բացթողնման ժամանակահատվածը</t>
  </si>
  <si>
    <t>ԵԱՏՄ շրջանակներում էլեկտրոնային ուղեկցող փաստաթղթերի փոխադարձ ճանաչմանն ուղղված գործընթացների իրագործման ապահովում</t>
  </si>
  <si>
    <t>ԵԱՏՄ շրջանակներում փաստաթղթերի փոխադարձ ճանաչումն ապահովող համակարգը ներդրվել է</t>
  </si>
  <si>
    <t>ա. ԵԱՏՄ շրջանակներում փաստաթղթերի փոխադարձ ճանաչումն ապահովող համակարգի մասով հայեցակարգի մշակում և համաձայնեցում ԵԱՏՄ անդամ պետությունների հետ</t>
  </si>
  <si>
    <t>բ. հայեցակարգի և համակարգի նկատմամբ տեխնիկական պահանջների սահմանում</t>
  </si>
  <si>
    <t>գ. ԵԱՏՄ անդամ պետությունների կողմից նորմատիվ-իրավական ակտերի մշակում և հաստատում</t>
  </si>
  <si>
    <t>դ. տեխնիկական նկարագրի կազմում և ներկայացում ՊԵԿ էլեկտրոնային կառավարման համակարգի զարգացման և կատարելագործման խորհրդին</t>
  </si>
  <si>
    <t>է. տեխնիկական առաջադրանքի կազմում</t>
  </si>
  <si>
    <t xml:space="preserve">թ. համակարգի պիլոտային շահագործում </t>
  </si>
  <si>
    <t>ժ․  համակարգի գործարկում</t>
  </si>
  <si>
    <t>ա․ «Թույլատվական փաստաթղթեր» համակարգի ներդրման արդյունավետության գնահատում, վերջնական գործարկմանը խոչընդոտող խնդիրների վերհանում</t>
  </si>
  <si>
    <t>բ․ համակարգի աշխատանքի բարելավման առաջարկների մշակում</t>
  </si>
  <si>
    <t>գ․ վերհանված խնդիրների վերացման և առաջարկվող բարելավումների իրականացման միջոցառումների նախաձեռնում</t>
  </si>
  <si>
    <t>«Հայաստանի Հանրապետության արտաքին առևտրի ազգային մեկ պատուհան» էլեկտրոնային հարթակում (www.trade.gov.am) հասանելի «Թույլատվական փաստաթղթեր» ենթահամակարգը լիարժեք գործարկվում է</t>
  </si>
  <si>
    <t>Արտաքին առևտրի շրջանակներում ՀՀ օրենսդրությամբ սահմանված փաստաթղթերի ստացման և ներկայացման գործընթացը իրականացվում է էլեկտրոնային համակարգի միջոցով</t>
  </si>
  <si>
    <t>Ընդամենը՝ 5 միջոցառում</t>
  </si>
  <si>
    <t>1.3.1</t>
  </si>
  <si>
    <t>1.3.5</t>
  </si>
  <si>
    <t>Ընդամենը՝ 4 միջոցառում</t>
  </si>
  <si>
    <t>1.5.4</t>
  </si>
  <si>
    <t>2.1.1</t>
  </si>
  <si>
    <t>2.1.2</t>
  </si>
  <si>
    <t>2.1.3</t>
  </si>
  <si>
    <t>2.1.4</t>
  </si>
  <si>
    <t>2.1.5</t>
  </si>
  <si>
    <t>2.2.1</t>
  </si>
  <si>
    <t>2.2.3</t>
  </si>
  <si>
    <t>2.2.4</t>
  </si>
  <si>
    <t>2.3.1</t>
  </si>
  <si>
    <t>2.3.3</t>
  </si>
  <si>
    <t>2.4.1</t>
  </si>
  <si>
    <t>3.1.7</t>
  </si>
  <si>
    <t>Ընդամենը՝ 7 միջոցառում</t>
  </si>
  <si>
    <t>3.2.3</t>
  </si>
  <si>
    <t>Ընդամենը՝ 6 միջոցառում</t>
  </si>
  <si>
    <t>ՊԵԿ
ՆԳՆ
ԱԱԾ
ՔԿ</t>
  </si>
  <si>
    <t xml:space="preserve">ՊԵԿ
</t>
  </si>
  <si>
    <t>Հարևան երկրների (Իրան, Վրաստան) հետ փոխգործակցության բարելավման և ընդլայնման հնարավորությունների ընդլայնման, խոչընդոտների վերհանման ուղղությամբ վերլուծական աշխատանքների իրականացում, որոնց արդյունքներով նախաձեռնել համապատասխան գործողությունների իրականացումը</t>
  </si>
  <si>
    <t>ՊԵԿ
ԷՆ</t>
  </si>
  <si>
    <t>ա․  Իրանի և Վրաստանի հետ համագործակցության ներկա ոլորտների և մակարդակների մանրակրկիտ վերլուծություն` թիրախավորելով առևտրի, մաքսային ընթացակարգերի և սահմանների կառավարման մոդելները</t>
  </si>
  <si>
    <t>բ․ առկա առևտրային համաձայնագրերի, սահմանահատման ընթացակարգերը և  համագործակցության այլ ասպեկներում առկա խոչընդոտների վերհանում</t>
  </si>
  <si>
    <t>դ․ սահմանահատման ընթացակարգերում տարբեր երկրների համագործակցության արդյունավետ մոդելների ուսումնասիրություն՝ տեղայնացման առաջարկների մշակման նպատակով</t>
  </si>
  <si>
    <t>ե․ իրականացված վերլուծությունների հիման վրա գործողությունների ծրագրի մշակում, որը կարող է ներառել  առևտրային համաձայնագրերի կնքում, համատեղ ենթակառուցվածքային նախագծերի իրականացում և/կամ պարզեցված մաքսային ընթացակարգերի ներդրում</t>
  </si>
  <si>
    <t>Համագործակցության ընդլայնման առաջարկներ</t>
  </si>
  <si>
    <t>Իրանի և Վրաստանի հետ համագործակցության ընդլայնման գործողությունների ծրագիրը մշակված է</t>
  </si>
  <si>
    <t>գ․  մաքսային ընթացակարգերի և հարակից ԱՏԳ գործընթացների մանրակրկիտ վերլուծություն՝ պարզելու, թե որ գործընթացներն ու ծառայություններն են նպատակահարմար իրականացնել սպասարկման կենտրոն(ներ)ում</t>
  </si>
  <si>
    <t>բ․  ԱՏԳ սպասարկման կենտրոն(ներ)ի համար ենթակառուցվածքային պլանների նախագծում</t>
  </si>
  <si>
    <t>ա․ միջազգային լավագույն փորձի ուսումնասիրություն՝ համանման կոմիտեների ստեղծման մոդելների դիտարկման և Հայաստանի համար առավել նպատակահարմար մոդելի ընտրության նպատակով</t>
  </si>
  <si>
    <t>դ․ շահառու բոլոր հիմնական խմբերի ներգրավվածության ապահովում, այդ թվում՝ ԱՏԳ ընթացակարգերում ներգրավված  պետական մարմիններ,  մաքսային միջնորդներ, փոխադրողներ, արտահանողներ և ներմուծողներ, տրանսպորտային, փոստային սուրհանդակային, բանկային և ապահովագրական ծառայություններ մատուցող կազմակերպություններ և այլն</t>
  </si>
  <si>
    <t>ա. լիազորված տնտեսական օպերատորներին մաքսային օրենսդրությամբ նախատեսված հատուկ պարզեցված ընթացակարգերով աշխատելու հնարավորության ամբողջական տրամադրման համար առկա խնդիրների ուսումնասիրություն</t>
  </si>
  <si>
    <t>Լիազորված տնտեսական օպերատորներին մաքսային օրենսդրությամբ հատուկ պարզեցված ընթացակարգերով աշխատելու խոչընդոտները վերացվել են</t>
  </si>
  <si>
    <t>Ապրանքների բացթողումից հետո իրականացվող մաքսային հսկողության արդյունավետության բարձրացում, այդ թվում օրինապահ հարկ վճարողների նկատմամբ մաքսային հսկողությունը հնարավորինս նախաբացթողումային փուլից հետբացթողումային փուլ տեղափոխելու նպատակով</t>
  </si>
  <si>
    <t>Տեխնիկական աջակցության միջոցառումների իրականացում՝ միջազգային փորձագետների ներգրավմամբ</t>
  </si>
  <si>
    <t>Համակարգային ստուգումների ծրագիրը ներդրվել է</t>
  </si>
  <si>
    <t>Մաքսային գործառնությունների իրականացման համար կիրառվող պետական տուրքի դրույքաչափերի վերանայում, ինդեքսավորում</t>
  </si>
  <si>
    <t>ՊԵԿ
ԷՆ
ԱԳՆ</t>
  </si>
  <si>
    <t>Մաքսային փորձագետի ինստիտուտի ներդրում, փորձագիտական լաբորատորիաների անհրաժեշտության գնահատում և հիմնում</t>
  </si>
  <si>
    <t>Մեղրիի մաքսային կետի վերակառուցում և արդիականացում</t>
  </si>
  <si>
    <t>ա․ ծանուցումների կառավարման էլեկտրոնային համակարգի գործարկում</t>
  </si>
  <si>
    <t>Ենթանպատակ 2.4․ Առավելություններ օրինապահ ԱՏԳ մասնակիցների համար</t>
  </si>
  <si>
    <t>Մաքսային հսկողության միջոցառումների պատշաճ իրականացումն ապահովելու նպատակով շարունակաբար իրականացնել կարիքների գնահատման աշխատանքներ, կազմել և իրագործել անհրաժեշտ արդիականացման նախագծեր</t>
  </si>
  <si>
    <t>Ապրանքների և տրանսպորտային միջոցների բացթողումից հետո թիրախային ստուգումների համակարգի շարունակական մշտադիտարկում և կատարելագործում</t>
  </si>
  <si>
    <t>«Տրանսպորտային միջոցների հայտարարագրերի հաշվառման, շրջանառության, հսկողության» համակարգի գործարկում</t>
  </si>
  <si>
    <t>«Խելացի ռիսկերի կառավարում» համակարգի ներդրում</t>
  </si>
  <si>
    <t>Օրենսդրական փոփոխությունների իրականացման նպատակով առաջարկությունները մշակված են</t>
  </si>
  <si>
    <t>ՊԵԿ
ՖՆ</t>
  </si>
  <si>
    <t>Ժամանակակից չափանիշներին համապատասխանող ՊԵԿ կինոլոգիական կենտրոնի շարունակական կատարելագործում</t>
  </si>
  <si>
    <t>Մաքսատուրքերի բաշխման մեխանիզմների վերանայման նպատակով համապատասխան առաջարկությունների մշակում, ԵԱՏՄ անդամ պետությունների հետ բանակցությունների նախաձեռնում</t>
  </si>
  <si>
    <t>ա. ստուգման ենթակա ԱՏԳ իրականացնող անձանց՝ ըստ ռիսկայնության աստիճանի, մաքսային մարմիններին վճարման ենթակա վճարների ծավալի, տեղափոխվող ապրանքների ընդհանուր արժեքի դասակարգման նպատակով համապատասխան ընթացակարգի մշակում</t>
  </si>
  <si>
    <t>բ. ռիսկի ցածր մակարդակ ունեցող ընկերություններին պարզեցված ընթացակարգերի կիրառման հնարավորություն տվող կարգավիճակի տրամադրման նպատակով այդ ընկերությունների նկատմամբ ստուգումների իրականացման ընթացակարգի մշակում՝ օրենսդրությամբ սահմանված պահանջներին նշված անձանց համապատասխանությունը, ինչպես նաև վերջիններիս գործունեության իրականացման իրավաչափության մակարդակը որոշելու համար</t>
  </si>
  <si>
    <t>գ. ռիսկի աստիճանի նվազեցման և համապատասխանության վերհանման նպատակով կազմակերպվող համակարգային ստուգումների իրականացման նպատակով ստուգման պլանի մշակման, կազմման և պլանային ստուգումների իրականացման համար համապատասխան ընթացակարգերի մշակում և ներդրում</t>
  </si>
  <si>
    <t>դ. արտաքին տնտեսական գործունեություն իրականացնող անձանց գնահատման արդյունքում ձևավորված գնահատականի կշիռը վերլուծելու, հետագա վերլուծության ենթակա արտաքին տնտեսական գործունեություն իրականացնող անձանց ընտրելու և վերջիններիս նկատմամբ ստուգում իրականացնելու նպատակով զարգացած և առաջավոր փորձ ունեցող երկրներում կիրառվող իրավական մեխանիզմների և տեխնիկական միջոցների, ծրագրերի կիրառման առանձնահատկություններին ծանոթանալու նպատակով ճանաչողական այցերի կազմակերպում</t>
  </si>
  <si>
    <t>ե. ապրանքների բացթողումից հետո անցկացվող մաքսային հսկողության իրականացման ուղեցույցի (Guidelines for Post-clearance Audit) մշակում և ներդրում</t>
  </si>
  <si>
    <t>ե․ տեխնիկական առաջադրանքների կազմում և հաստատում</t>
  </si>
  <si>
    <t>զ. համակարգերի մշակում, ծրագրավորում</t>
  </si>
  <si>
    <t>է. համակարգերի պիլոտային շահագործում</t>
  </si>
  <si>
    <t>ը. համակարգերի հանձնում շահագործման</t>
  </si>
  <si>
    <t>Թղթային եղանակով ներկայացվող հաշվետվությունների փոխարեն թվային եղանակով հաշվետվությունները ներկայացնելու հնարավորության ստեղծում</t>
  </si>
  <si>
    <t xml:space="preserve"> ա․ սպասարկման կենտրոն(ներ)ի օպտիմալ վայրերի ընտրություն` հաշվի առնելով առևտրի հոսքերը, հասանելիությունը և շահագրգիռ կողմերի համար հարմարավետությունը</t>
  </si>
  <si>
    <t>Ռիսկերի կառավարման համակարգի մշտադիտարկում, շարունակական կատարելագործում</t>
  </si>
  <si>
    <t>Ռիսկերի կառավարման համակարգի արդյունավետություն</t>
  </si>
  <si>
    <t>բ․ սահմանված չափանիշներին համապատասխան  առևտրի հոսքերի համապարփակ վերլուծության իրականացում և մաքսային վերահսկողության տեսանկյունից  հետաքրքրություն ներկայացնող հիմնական երկրների բացահայտում</t>
  </si>
  <si>
    <t>գ․  միջազգային փորձի ուսումնասիրություն և տիպային համաձայնագրերի ձևավորում՝ սահմանող վերահսկողության մեթոդներն ու ձևերը,  տեղեկատվության փոխանակման և համատեղ գործողությունների իրականացման ընթացակարգերը</t>
  </si>
  <si>
    <t>ա․  համաձայնագրեր կնքելու համար երկրների ընտրության չափանիշների սահմանում՝ համադրելով առևտրի ծավալը, անվտանգության ռիսկերը, նախկինում այդ երկրներից ներմուծված ապրանքների հսկողության արդյունքում բացահայտված իրավախախտումների քանակները ու տեսակները, արտահանման մաքսային հսկողության տեսանկյունից երկրների միջազգայնորեն ձևավորված համբավը, երկկողմ հարաբերությունների ամրապնդման հնարավորությունները և այլն</t>
  </si>
  <si>
    <t>ՀՀ ՊԵԿ անձնակազմի արագ և համարժեք արձագանքի գործողությունների ծրագրի նախագծում և ՀՀ ՊԵԿ նախագահի հրամանով սահմանում ՝ ըստ հավանական իրավիճակների, ինչպես նաև համակարգում առկա մարդկային ռեսուրսների օպերատիվ վերաբաշխման և գործունեության ուղեցույցի մշակում</t>
  </si>
  <si>
    <t>բ․  արտակարգ և ոչ բնականոն, գերլարված աշխատանքի իրավիճակների արձագանքման համապարփակ ծրագրի մշակում և հաստատում, որը ներառում է հստակ ընթացակարգեր և հրահանգներ</t>
  </si>
  <si>
    <t>գ․ կադրերի գործառնական վերաբաշխման ուղեցույցների ստեղծում՝ հաշվի առնելով փոփոխվող պայմաններն ու կարիքները</t>
  </si>
  <si>
    <t>դ․ աշխատակիցների համար կանոնավոր վերապատրաստման և վարժանքների անցկացում՝ արագ արձագանքման ընթացակարգեր կիրառելու համար</t>
  </si>
  <si>
    <t>Արտակարգ և ոչ բնականոն իրավիճակների արձագանքման պլանի հաստատում և անձնակազմի ուսուցում</t>
  </si>
  <si>
    <t xml:space="preserve">ա․ ՊԵԿ համակարգի արտակարգ և ոչ բնականոն, գերլարված աշխատանքի հավանական իրավիճակների վերհանում, մոդելավորում  և ուսումնասիրություն՝ դրանց համարժեք արձագանքելու նպատակով  </t>
  </si>
  <si>
    <t>Հաստատված նոր գործողությունների ծրագրերի և ուղեցույցների վերաբերյալ վերապատրաստված աշխատակիցների տոկոսը կազմում է 70%</t>
  </si>
  <si>
    <t>բ․ աշխատակիցների համար վերապատրաստման ծրագրերի և ուսուցման կազմակերպում, ներառյալ տեղեկատվության փոխանակման նոր կանոնակարգերի և մեթոդների վերաբերյալ</t>
  </si>
  <si>
    <t>գ․ այլ մարմինների հետ փոխգործակցության շրջանակներում միջոցառման դրույթների պահպանման մոնիտորինգի մեխանիզմների ստեղծում</t>
  </si>
  <si>
    <t>ա. Ուղևորների նախնական տեղեկատվության (API) և Ուղևորների տվյալների գրանցման (PNR) համակարգերի կիրառման միջազգային փորձի ուսումնասիրություն</t>
  </si>
  <si>
    <t>բ. Ուղևորների նախնական տեղեկատվության (API) և Ուղևորների տվյալների գրանցման (PNR) համակարգերի ներդրման և կիրառման հետ կապված բիզնես գործընթացների ուսումնասիրություն</t>
  </si>
  <si>
    <t>գ. տեխնիկական փաստաթղթերի ուսումնասիրություն և տեխնիկական պահանջների սահմանում</t>
  </si>
  <si>
    <t>դ. իրավական դաշտի ուսումնասիրում և անհրաժեշտության դեպքում համապատասխան փոփոխությունների առաջարկությունների ներկայացում</t>
  </si>
  <si>
    <t>ե. Հայաստանի Հանրապետությունում Ուղևորների նախնական տեղեկատվության (ՈՒՆՏ/API) համակարգի ներդրման տեխնիկական առաջադրանքի մշակմանը մասնակցություն և համապատասխան տեխնիկական պահանջների ներկայացում</t>
  </si>
  <si>
    <t>է. համակարգերի մշակման գործընթացին մասնակցություն</t>
  </si>
  <si>
    <t>1.2.2</t>
  </si>
  <si>
    <t>գ․ մաքսանենգության դեպքերի, դրանց հետևանքների և պատիժների ներկայիս մակարդակի վերաբերյալ վիճակագրական տվյալների հավաքագրում և վերլուծություն</t>
  </si>
  <si>
    <t>բ․ ոլորտում միջազգային և լավագույն փորձի վերլուծություն</t>
  </si>
  <si>
    <t>Ապահովված է առաջարկությունների հստակությունն ու ամբողջականությունը</t>
  </si>
  <si>
    <t>ԵԱՏՄ այլ անդամ-պետությունների մաքսային մարմինների հետ համապատասխան տեղեկատվության փոխանակումն իրականացվում է հաստատված ժամանակացույցին համապատասխան</t>
  </si>
  <si>
    <t>ա․ շահագրգիռ կողմերի, ներառյալ տեղական արտադրողների և առևտրային ասոցիացիաների ներկայացուցիչների հետ</t>
  </si>
  <si>
    <t>բ․ գործող և միջազգային պրակտիկայի ուսումնասիրություն՝ մաքսային ձևակերպումները պարզեցնելու և արագացնելու համար</t>
  </si>
  <si>
    <t>գ․ ընթացակարգերի պարզեցման և տեղական արտադրանքի համար մաքսային արտոնությունների համակարգի ներդրման առաջարկների մշակում</t>
  </si>
  <si>
    <t>ա․ անհրաժեշտ պարբերականությամբ վերլուծական աշխատանքների իրականացում՝ ռիսկերի կառավարման համակարգում թիրախային հսկողության նպատակով նոր ռիսկի պրոֆիլների մշակման ներդրման նպատակով</t>
  </si>
  <si>
    <t>բ․ ՀՀ ՊԵԿ շահագրգիռ կառուցվածքային ստորաբաժանումների առաջարկների հիման վրա ռիսկի պրոֆիլների մշակման անհրաժեշտության գնահատում, նպատակահարմարության դեպքում ռիսկի պրոֆիլների ներդրում</t>
  </si>
  <si>
    <t>ա․ ԵԱՏՄ շրջանակներում մաքսային ընդհանուր գործընթացների շրջանակներում տեղեկատվության փոխանակում ապահովող համակարգերի խնդիրների վերհանում, նոր համակարգերի մշակման կարիքների և պահանջների սահմանում</t>
  </si>
  <si>
    <t>ա․ համակարգի աշխատանքի շրջանակների կարիքների և պահանջների սահմանում</t>
  </si>
  <si>
    <t>գ․ Ռիսկի կառավարման համակարգի մշտադիտարկում, անհրաժեշտության դեպքում այլ համակարգերի/ ենթահամակարգերի հետ ինտեգրման առաջարկների մշակում</t>
  </si>
  <si>
    <t>Ռիսկերի կառավարման համակարգն ինտեգրված է այլ անհրաժեշտ համակարգերի հետ, սահմանված ռիսկի պրոֆիլները մշակված և ներդրված են</t>
  </si>
  <si>
    <t>1.2.4</t>
  </si>
  <si>
    <t>Ընդամենը՝ 8 միջոցառում</t>
  </si>
  <si>
    <t>բ․ մաքսային գործընթացների նոր թարմացված տեխնոլոգիական սխեմաների ներդրում մաքսային կետ-բաժիններում</t>
  </si>
  <si>
    <t>ա. այլ երկրների կինոլոգիական ծառայությունների փորձի ուսումնասիրություն</t>
  </si>
  <si>
    <t>բ. անասնաբույժի, կինոլոգ-հրահանգիչների վերապատրաստում արտերկրում</t>
  </si>
  <si>
    <t>գ. կինոլոգ-մասնագետների և ծառայողական շների թվի ավելացում</t>
  </si>
  <si>
    <t>դ. նոր սարքավորումների և տրանսպորտային միջոցների ձեռքբերում</t>
  </si>
  <si>
    <t>ե. տարբեր տեսակի վարժեցումների համար պիտանի շների բուծման համակարգի ներդնում</t>
  </si>
  <si>
    <t>զ. վարժեցման ընթացքում ի հայտ եկած՝ մաքսային մարմիններին ոչ պիտանի շներին այլ հաստատություններին փոխանցման համակարգի ներդնում</t>
  </si>
  <si>
    <t>գ. ֆինանսավորման իրականացում միջազգային ֆինանսական աղբյուրներից, ՀՀ պետական բյուջեից և այլ չարգելված աղբյուրներից</t>
  </si>
  <si>
    <t>դ․ անհրաժեշտ միջոցառումների նախաձեռնման համար անհրաժեշտ ֆինանսավորում և ռեսուրսներ ներգրավման ուղղությամբ աշխատանքների իրականացում</t>
  </si>
  <si>
    <t>1.3.3</t>
  </si>
  <si>
    <t>Ընդամեն՝ 5 միջոցառում</t>
  </si>
  <si>
    <t>Ներկայումս համակարգն արդեն իսկ մշակվել է։ Միջոցառման արդյունքում հնարավոր կլինի իրականացնել արդյունավետ մաքսային հսկողություն ՀՀ ներմուծվող/արտահանվող էքսպրես-բեռների նկատմամբ: Համակարգի ներդրմամբ հնարավորություն կընձեռվի փոխադրողներից, ԵԱՏՄ միասնական կարգերին համապատասխան, ստանալ տեղեկատվություն էքսպրես-բեռների՝ փոխադրողի, ուղարկողի, ստացողի, ներդրվածքի, արժեքի և քաշի վերաբերյալ, ինչն էականորեն կնվազեցնի մաքսային հսկողության համար ծախսվող ռեսուրսները և թույլ կտա հսկողությունն իրականացնել բացառապես մաքսային հսկողության տեսանկյունից ռիսկային համարվող էքսպրես-բեռների նկատմամբ։ Միաժամանակ, փոխադրում իրականացնող կազմակերպություններին թույլ կտա կատարել իրենց կողմից ստանձնած էքսպրես-բեռների արագ փոխադրման և հասցեատերերին փոխանցելու պարտավորությունները</t>
  </si>
  <si>
    <t>գ․ մաքսային ընթացակարգերը, կիրառվող բիզնես գործընթացները վերհանված չափանիշներին համապատասխանեցնելու հայեցակարգի և գործողությունների ծրագիր մշակում՝ հաշվի առնելով անհրաժեշտ փոփոխությունները կամ կատարելագործման ուղղությունները</t>
  </si>
  <si>
    <t>ԱՏԳ մասնակիցների, փոխադրողների և այլ շահագրգիռ կողմերի հետ պարբերական հանդիպումների, քննարկումների կազմակերպում՝ ստացված հետադարձ կապի հիման վրա կիրառվող ընթացակարգերը շարունակաբար բարելավելու նպատակով</t>
  </si>
  <si>
    <t>գ․ հանդիպումների կազմակերպման, արդյունքների ամփոփման, հետադարձ կապի ապահովման և նպատակահարմար առաջարկների տեղայնացման մեխանիզմի, կանոնակարգի սահմանում</t>
  </si>
  <si>
    <t>ԱՏԳ մասնակիցների համագործակցության և հետադարձ կապի ապահովման գործուն մեխանիզմ ներդրված է</t>
  </si>
  <si>
    <t>բ․  մուտքային տեղեկատվության դասակարգման, պատասխանատուների նշանակման, պատասխանների մշակման և կառավարման մեխանիզմի մշակում՝ ապահովելու բոլոր դիմողներին ժամանակին և հասցեական պատասխաններ</t>
  </si>
  <si>
    <t>զ․ ստացված բոլոր դիմումների և տրված լուծումների, պատասխանների գույքագրում</t>
  </si>
  <si>
    <t>Մաքսային ծառայողների համար հանրության, ԱՏԳ մասնակիցների հետ փոխազդեցության էթիկական կանոնների սահմանում, համապատասխանության ստուգում և շարունակական մոնիթորինգ</t>
  </si>
  <si>
    <t>ա․ ներկայիս տնտեսական ցուցանիշներին համապատասխան մաքսատուրքերի բաշխման կիրառվող մեթոդով հաշվարկների մոդելավորում, անհրաժեշտության դեպքում նոր մեթոդիկաների մշակում</t>
  </si>
  <si>
    <t>բ․ մաքսատուրքերի բաշխման մեխանիզմների վերանայման նպատակով համապատասխան առաջարկությունների մշակում և այդ մասով ԵԱՏՄ անդամ պետությունների հետ բանակցությունների վարում</t>
  </si>
  <si>
    <t xml:space="preserve">Մաքսատուրքերի բաշխման (վերանայման) առաջարկությունները մշակվել, շահագրգիռ գերատեսչությունների հետ համաձայնեցվել և ներկայացվել են Եվրասիական տնտեսական հանձնաժողով </t>
  </si>
  <si>
    <t>Բնապահպանական հարկի դրույքաչափերի վերանայման ուսումնասիրություն և առաջարկների ներկայացում</t>
  </si>
  <si>
    <t>Տեղական ապրանքների համար մաքսային ձևակերպումների գործընթացի պարզեցման, արագացման, մաքսային արտոնությունների համակարգի ներդրման հարցերի ուսումնասիրություն և առաջարկների ներկայացում</t>
  </si>
  <si>
    <t>Առևտրի դյուրացման նպատակով այլ երկրների պետական կառույցների և առևտրային կազմակերպությունների, տրանսպորտային օպերատորների և ասոցիացիաների հետ  փոխըմբռնման հուշագրերի և համաձայնագրերի կնքում</t>
  </si>
  <si>
    <t>2.1.6</t>
  </si>
  <si>
    <t>ա. համակարգի ներդրում և  կիրարկում</t>
  </si>
  <si>
    <t>բ. ապրանքների բացթողումից հետո իրականացվող համակարգային ստուգումների ներդրում և համակարգային ստուգումների անցկացման ընթացակարգերի մասով ուսուցում</t>
  </si>
  <si>
    <t>գ. արտաքին առևտրի իրականացման տեսանկյունից ռիսկայնության բարձր մակարդակ ունեցող արտաքին տնտեսական գործունեություն իրականացնող անձանց նկատմամբ թիրախային ստուգումների մեխանիզմի ներդրում՝ նշված անձանց օրինապահության մակարդակը բարձրացնելու նպատակով</t>
  </si>
  <si>
    <t>ե․ մշակվող փաստաթղթերի իրավական հիմքերի ապահովում, համապատասխանության ստուգում</t>
  </si>
  <si>
    <t>ա․ մոնիթորինգային համակարգի հայեցակարգի և աշխատանքի շրջանակների սահմանում՝ նախատեսելով մաքսային ընթացակարգերի համապատասխան փուլերը,գնահատման չափանիշները, մաքսային ծառայողների աշխատանքի արդյունավետության գնահատման վրա ազդեցությունը</t>
  </si>
  <si>
    <t>Իրականացվում է ապրանքների բացթողումից հետո ԱՏԳ իրականացնողների դասակարգում՝ ռիսկի ցածր, միջին և բարձր մակարդակների, և ստուգում (90 ԱՏԳ իրականացնողի մոտ)</t>
  </si>
  <si>
    <t>ե. համակարգի ներդրմամբ պայմանավորված՝ մաքսային և հարակից այլ ընթացակարգերի ուսումնասիրություն և անհրաժեշտության դեպքում բիզնես գործընթացների վերակառուցում (օպտիմալացում)</t>
  </si>
  <si>
    <t>բ․ շահագրգիռ կողմերի (մաքսային ծառայողներ, այլ մարմինների ներկայացուցիչներ, ԱՏԳ մասնակիցներ, փոխադրողներ և այլն) հետադարձ կապի ապահովում (հարցումներ, կարծիքների հավաքագրում), արդյունքների ամփոփում՝ գնահատելու գործող ընթացակարգերի արդյունավետությունը</t>
  </si>
  <si>
    <t>գ․  համագործակցության բարելավման կամ ընդլայնման առաջարկների մշակում՝  հիմնական շահագրգիռ կողմերի ներգրավմամբ, ներառյալ ԱՏԳ իրականացնողները, լոգիստիկ ընկերությունները և պետական մարմինները</t>
  </si>
  <si>
    <t>զ․ Կառավարության և համապատասխան պետական մարմինների հետ համագործակցություն՝ ապահովելու մշակվող առաջարկի համապատասխանությունը ազգային շահերին և քաղաքականությանը</t>
  </si>
  <si>
    <t>Լիազորված տնտեսական օպերատորների ռեեստրում գրանցված տնտեսավարող սուբյեկտների քանակի ավելացում 30%-ով</t>
  </si>
  <si>
    <t>ԼՏՕ  համար օրենսդրությամբ նախատեսված հատուկ պարզեցված ընթացակարգերի , միջազգային և ԵԱՏՄ անդամ երկրների փորձի ուսումնասիրություն՝ նպատակ ունենալով դրանք ոչ բավարար լինելու դեպքում օրենսդրությամբ սահմանել լրացուցիչ խթաններ ինչպես ԵԱՏՄ մաքսային օրենսգրքի շրջանակներում, այնպես էլ ՀՀ օրենսդրությամբ հարկային և այլ պետական կառավարման մարմինների կողմից տրամադրվող արտոնությունների և խթանների առումով</t>
  </si>
  <si>
    <t>գ․ իրականացված վերլուծության հիման վրա ընթացիկ կարգավիճակի և ապագա կարիքների վերաբերյալ   հաշվետվության մշակում՝ ռազմավարությամբ սահմանված տեսլականի համատեքստում</t>
  </si>
  <si>
    <t>ա․ ներկայումս օգտագործվող բոլոր մաքսային էլեկտրոնային կառավարման համակարգերի, դրանց ֆունկցիոնալության, մատուցվող ծառայությունների համապարփակ գույքագրում</t>
  </si>
  <si>
    <t xml:space="preserve">բ․ այն համակարգերի վերհանում, որոնք պահանջում են արդիականացում կամ ծառայությունների ընդլայնում՝  յուրաքանչյուր համակարգի արդյունավետության, հուսալիության, ընթացիկ և ապագա գործառնական կարիքների համար համապատասխանության գնահատման միջոցով
</t>
  </si>
  <si>
    <t>դ․ արդիականացման և գնումների պլանի մշակում և ՊԵԿ էլեկտրոնային կառավարման համակարգի զարգացման և կատարելագործման խորհրդի կողմից հաստատում (ըստ անհրաժեշտության)</t>
  </si>
  <si>
    <t xml:space="preserve">Ներկայումս մաքսային մարմինների կողմից շահագործվում են բազմաթիվ էլեկտրոնային կառավարման համակարգեր, որոնք միջոցով հավաքագրվում է մեծ ծավալի տվյալներ։ Դրանց մշակման արդյունավետ մեխանիզմների ներդրումը հնարավորություն կընձեռի լիարժեք կիրառել հավաքագրվող  տվյալների վերլուծության ներուժը՝ ներդնելով անոմալիաների ավտոմատ հայտնաբերման մեխանիզմներ, որն էլ իր հերթին կնպաստի մաքսային հսկողության արդյունավետության բարձրացման, հիմնավորված որոշումների կայացման և ռիսկերի կառավարման մոդելի կատարելագործման </t>
  </si>
  <si>
    <t>Ռիսկերի կառավարման արդյունավետության բարձրացման համար առաջնային նշանակություն ունեցող արտաքին տեղեկատվական աղբյուրների, համակարգերի վերհանում</t>
  </si>
  <si>
    <t>Հավաքագրվող մեծ ծավալի տվյալների վերլուծության հիման վրա անոմալիաների ավտոմատ հայտնաբերման մեխանիզմ ներդնելու հնարավորության ուսումնասիրություն</t>
  </si>
  <si>
    <t>Մաքսային ոլորտում Արհեստական բանականության (AI) և մեքենայական ուսուցման (ML)   տեխնոլոգիաների կիրառման հայեցակարգի մշակում՝ ներգրավելով և համագործակցելով համապատասխան մասնագետների հետ</t>
  </si>
  <si>
    <t xml:space="preserve"> Արհեստական բանականության (AI) և մեքենայական ուսուցման (ML)  տեխնոլոգիաների ներդրման համար անհրաժեշտ ենթակառուցվածքների գնահատում՝ սերվերներ, տվյալների պահպանման լուծումներ և այլն</t>
  </si>
  <si>
    <t>Մաքսային մարմնի տեղեկատվական բազաներում հավաքագրվող տվյալների  «մաքուր», ֆորմատավորված լինելու ապահովում՝ համոզվելով, որ դրանց կառուցվածքը կարող է համապատասխանեցվել արհեստական բանականության (AI) ալգորիթմերին</t>
  </si>
  <si>
    <t>ՀՀ ՊԵԿ տեղեկատվական համակարգերում  մեքենայական ուսուցման (machine learning) գործիքակազմի ներդրում, այդ թվում հետբացթողումային հսկողությունը առավել թիրախային դարձնելու նպատակով</t>
  </si>
  <si>
    <t>Արհեստական բանականության (AI)  վրա հիմնված կանխատեսող վերլուծական գործիքակազմի ներդրում՝ գնահատելու և կանխատեսելու առևտրի հոսքերը, միտումները՝ ճկուն կառավարում և ռեսուրսների բաշխում իրականացնելու նպատակով</t>
  </si>
  <si>
    <t>ՀՀ ՊԵԿ կիրառվող մեծ ծավալի տվյալների (Big Data) վերլուծական գործիքակազմի աշխատանքի արդյունավետության գնահատման և շարունակական արդիականացման մեխանիզմի մշակում</t>
  </si>
  <si>
    <t>Ներկայումս ՊԵԿ մաքսային ծառայությունը հսկողությունն իրականացնում է հիմնվելով տեղեկատվության մշակման և կիրառման ավանդական մեթոդների վրա, որոնք կարող են ամբողջությամբ չօգտագործել առաջադեմ վերլուծական գործիքակազմերի ներուժը: Մեքենայական ուսուցման գործիքների ներդրումը հնարավորություն է տալիս զգալիորեն բարձրացնել այդ գործընթացների արդյունավետությունն ու ճշգրտությունը, այդ թվում՝ հետբացթողումային հսկողությունը առավել թիրախային դարձնելու նպատակով: Մեքենայական ուսուցումը կարող է առավել  նպատակային թիրախավորում ապահովել  հետբացթողումային հսկողության համար՝ մինիմալացնելով բարեխիղճ ԱՏԳ մասնակիցների ստուգումները և ուշադրությունը սևեռելով առավել ռիսկային փոխադրումների և ԱՏԳ մասնակիցների վրա</t>
  </si>
  <si>
    <t>բ. կանխատեսող վերլուծական գործիքակազմի ներդրման նպատակահարմարության ուսումնասիրություն՝ գնահատելով պահանջվող ռեսուրսները և ակնկալվող արդյունքները</t>
  </si>
  <si>
    <t>գ.  կանխատեսող վերլուծական գործիքակազմի ներդրման հայեցակարգի ներկայացում ՊԵԿ էլեկտրոնային կառավարման համակարգի զարգացման և կատարելագործման խորհրդի քննարկմանը</t>
  </si>
  <si>
    <t>բ. սահմանված չափանիշներին համապատասխան իրականացնել շարունակական մոնիթորինգ՝ գնահատելու արդյունավետությունը</t>
  </si>
  <si>
    <t>Լոկալ իրավական ակտի ընդունում՝ տեղեկատվական ռեսուրսները ՊԵԿ կայք էջում պարբերաբար և ըստ անհրաժեշտության թարմացնելու, տեղեկատվության որոնման տեխնոլոգիան բարելավելու, գործառույթի իրականացումը վերահսկելու մեխանիզմների, կարգի և պատասխանատու պաշտոնատար անձանց նշանակելու վերաբերյալ</t>
  </si>
  <si>
    <t>ա․ Էկոնոմիակայի նախարարության հետ համատեղ  համակարգի աշխատանքի շրջանակների, ֆունկցիոնալության և բովանդակության համաձայնեցում</t>
  </si>
  <si>
    <t>Օգտվողների գոհունակություն՝ 70%</t>
  </si>
  <si>
    <t xml:space="preserve">բ․ ներմուծման և արտահանման ժամանակ կիրառվող սակագնային և ոչ սակագնային կարգավորումների վերաբերյալ համապարփակ և արդի տեղեկատվության հավաքագրում, պոտենցիալ օգտվողների կարիքների և պահանջների ուսումնասիրություն և փաստաթղթավորում </t>
  </si>
  <si>
    <t>ժ. համակարգում ակտուալ տեղեկատվության հասանելիության և անհրաժեշտ թարմացումների իրականացման պատասխանատուի սահմանում՝ շարունակական մոնիթորինգի իրականացման նպատակով</t>
  </si>
  <si>
    <t>Օգտվողների կարիքներին համապատասխան կայք</t>
  </si>
  <si>
    <t>ՊԵԿ կայք էջի արդիականությունը և օգտվողների կարիքներին համապատասխանությունը ապահովելու համար կարևոր նշանակություն ունի կայքի արդիականացման և թարմացումների իրականացման հստակ մեխանիզմների սահմանումը և մոնիթորինգը։ Այստեղ առանձնահատուկ նշանակություն ունի նաև օգվողների հետադարձ կապի ապահովումը՝ հավաքագրելով նրանց կողմից բարձրացրած հարցերը, խնդիրները և միջոցներ ձեռնարկելով դրանց լուծման համար</t>
  </si>
  <si>
    <t>ա․ ՊԵԿ իրավապահ ստորաբաժանումների աշխատանքի կանոնակարգերի մշակում, այդ թվում` այլ իրավապահ մարմինների փոխգործակցությունը կարգավորող փաստաթղթերի մշակում և հաստատում</t>
  </si>
  <si>
    <t>ա․ նախագծի իրականացման շրջանակներում ներգրավված անձնակազմից հետադարձ կապի մեխանիզմի կառավարման պատասխանատու թիմի ձևավորում</t>
  </si>
  <si>
    <t>Փոփոխությունների կառավարում և արդյունքների գնահատում</t>
  </si>
  <si>
    <t>բ․ հետադարձ կապի հավաքագրման, վերլուծության և արձագանքման մեխանիզմի սահմանում: Այն կարող է նախատեսել կանոնավոր հանդիպումներ, հարցումներ, առաջարկների ներկայացում էլ․ եղանակով և այլն</t>
  </si>
  <si>
    <t>գ․ հավաքագրված տեղեկատվության վերլուծություն, բացահայտված խնդիրների գույքագրում, հնարավոր լուծումների առաջարկների մշակում,  պարտականությունների սահմանում</t>
  </si>
  <si>
    <t>ՀՀ ՊԵԿ մաքսային ծառայության գործառույթների ստանդարտացում և համապատասխան արձանագրությունների (protocols) մշակում՝ հիմնված բիզնես գործընթացների գույքագրման, ուսումնասիրության, վերակառուցման առաջարկների վրա</t>
  </si>
  <si>
    <t>ա․ ՀՀ ՊԵԿ մաքսային ծառայության բոլոր ընթացիկ բիզնես գործընթացների համապարփակ ուսումնասիրություն,  գույքագրում՝ վերլուծելու առկա գործելակերպը և ընթացակարգերը</t>
  </si>
  <si>
    <t>Բիզնես գործընթացների օպտիմալացում</t>
  </si>
  <si>
    <t>գ․ շահագրգիռ կողմերի ներգրավում վերհանված խնդիրների բարելավման առաջարկների մշակման համար տեղեկատվություն հավաքելու և նախատեսվող առաջարկների գործնական կիրառությունը ապահովելու նպատակով</t>
  </si>
  <si>
    <t>դ․ բիզնես գործընթացների օպտիմալացման, վերակառուցման մանրամասն առաջարկների մշակում</t>
  </si>
  <si>
    <t>ե․ նոր բիզնես գործընթացների ներդրման գործողությունների ծրագրի մշակում</t>
  </si>
  <si>
    <t>զ․ մշակված նոր բիզնս գործընթացների մոդելի հիման վրա  գործառույթների ստանդարտացման նպատակով համապարփակ աշխատանքային արձանագրությունների (protocols) մշակում: Արձանագրությունները պետք է սահմանեն քայլերի հաջորդականություն ուղեցույցներ՝ համապատասխան ընթացակարգերի համար</t>
  </si>
  <si>
    <t>է․ նոր բիզնես գործընթացները ներդնելու և համապատասխան արձանագրությունների կիրարկումն ապահովելու նպատակով մաքսային մարմնի անձնակազմի համար վերապատրաստման դասընթացների կազմակերպում</t>
  </si>
  <si>
    <t>թ․ սահմանված պարբերականությամբ արձանագրությունների վերանայում, անհրաժեշտության դեպքում թարմացումների, փոփոխությունների իրականացման աշխատանքների նախաձեռնում և իրականացում</t>
  </si>
  <si>
    <t>Պաշտոնի նկարագրերի (անձնագրերի) և փաստացի մաքսային գործընթացների և ընթացակարգերի համապատասխանության մակարդակ</t>
  </si>
  <si>
    <t>գ․ պաշտոնի նկարագրերի (անձնագրերի) հաստատում համապատասխան իրավական ակտով</t>
  </si>
  <si>
    <t>գ. ռիսկի աստիճանի նվազեցման և համապատասխանության վերհանման նպատակով կազմակերպվող համակարգային ստուգումների իրականացման նպատակով ստուգման պլանի մշակման, կազմման և պլանային ստուգումների իրականացման համար համապատասխան ընթացակարգերի մշակում և ներդրում,</t>
  </si>
  <si>
    <t>ա. ՀՀ սահմանային անցման կետերում ծառայություն իրականացնողների կարիքների ուսումնասիրություն՝ ենթակառուցվածքների ապահովման տեսանկյունից</t>
  </si>
  <si>
    <t>ՊԵԿ որոշ ստորաբաժանումներ գտնվում են աշխատակիցների մշտական բնակության վայրերից հեռու, այդ իսկ պատճառով անհրաժեշտ է բարելավել առկա ենթակառուցվածքները և ըստ անհրաժեշտության ստեղծել նոր ենթակառուցվածքներ, որպեսզի ՊԵԿ աշխատակիցները և նրանց ընտանիքի անդամները ունենան անհրաժեշտ նվազագույն պայմանները՝ ՀՀ սահմանային անցման կետերում իրենց կենսագործունեությունն ապահովելու նպատակով: ՀՀ սահմանային անցման կետերում ծառայություն են իրականացնում նաև այլ գերատեսչություններ, հետևաբար նպատակահարմար է համագործակցել և համատեղ ստեղծել անհրաժեշտ ենթակառուցվածքներ՝ ՀՀ սահմանային անցման կետերում ծառայություն իրականացնող բոլոր աշխատակիցների համար:</t>
  </si>
  <si>
    <t>Մաքսային մարմնի մարդկային ռեսուրսների և կարողությունների գնահատում</t>
  </si>
  <si>
    <t xml:space="preserve">Ապահովված է մաքսային գործառույթների, նախատեսված միջոցառումների և առկա մարդկային ռեսուրսների միջև համապատասխանությունը </t>
  </si>
  <si>
    <t>գ․ հաշվի առնելով ՏՏ ոլորտի շարունակական զարգացումը, ռազմավարությամբ նախատեսված լիովին նոր տեխնոլոգիական լուծումների ներդրման պահանջը և համապատասխանաբար նման մասնագետների ներգրավման առանցքային նշանակությունը՝ ՏՏ զարգացման մասով անհրաժեշտ հմտություններով ռեսուրսների ներգրավման պահանջների սահմանում</t>
  </si>
  <si>
    <t>դ․ ըստ ստորաբաժանումների վերհանված բացերը համալրելու նպատակով լրացուցիչ ռեսուրսների ներգրավման գործողությունների ծրագրի մշակում</t>
  </si>
  <si>
    <t>ե․ ներգրավված ռեսուրսների վերապատրաստման միջոցառումների ապահովում</t>
  </si>
  <si>
    <t>ա․ ինովացիոն հարթակի (լաբորատորիայի) ստեղծման  տեսլականի, նպատակների և շրջանակների սահմանում՝ մանրամասնելով որպես արտաքին առևտրի խթանման, դյուրացման  համագործակցային հարթակ ծառայելու առանձնահատկությունները</t>
  </si>
  <si>
    <t>Նախագծային փորձարկումներ իրականացնելու և նախատիպեր ստեղծելու հարթակի ձևավորում</t>
  </si>
  <si>
    <t>Առևտրի խթանման ինովացիոն հարթակի (լաբորատորիայի) ստեղծման հայեցակարգը մշակված է</t>
  </si>
  <si>
    <t>ՊԵԿ
ԷՆ
ԲՏԱ</t>
  </si>
  <si>
    <t>գ․ նախագծերի և գաղափարների ներկայացման մեխանիզմների սահմանում</t>
  </si>
  <si>
    <t>դ․ նախագծերի և գաղափարների ընտրության չափանիշների սահմանում, որոնք կարող են ծառայել որպես փորձարկումների և նախատիպերի մշակման հիմք</t>
  </si>
  <si>
    <t>ե․ հայեցակարգի մշակում՝ նախատեսելով, այդ թվում՝ իրականացվող նախագծերի նկատմամբ պահանջների, սահմանափակումների, իրավական կարգավորումների, մոնիթորինգի և այլ չափանիշներ</t>
  </si>
  <si>
    <t>ա․ մաքսային մարմնի կառուցվածքային ստորաբաժանումների կողմից գործառույթների իրականացումը բնութագրող չափելի ցուցանիշների մշակում և հաստատում</t>
  </si>
  <si>
    <t>Չափելի ցուցանիշների և մաքսային ծառայության ստանդարտների կիրառման գործիքակազմը մշակվել է</t>
  </si>
  <si>
    <t>Իրականացվում է վերահսկողություն մաքսային մարմինների կողմից իրականացվող գործընթացների նկատմամբ</t>
  </si>
  <si>
    <t>բ․ մաքսային մարմնի կառուցվածքային ստորաբաժանումների կողմից մաքսային ծառայության ստանդարտների կիրառման նկատմամբ վերահսկողության նպատակով գործիքակազմի մշակում և ներդրում</t>
  </si>
  <si>
    <t>Սոցիալական երաշխիքների և կենսաթոշակային մոտիվացնող համակարգի ներդրում</t>
  </si>
  <si>
    <t>ա․ համապատասխան իրավական ակտերում օրենսդրական փոփոխությունների վերաբերյալ առաջարկությունների մշակում և հետագա ընթացքի ապահովում</t>
  </si>
  <si>
    <t>Սոցիալական երաշխիքների և կենսաթոշակային մոտիվացնող համակարգը ներդրվել է</t>
  </si>
  <si>
    <t>Աշխատանքի վարձատրության արդարացի, մոտիվացնող և մրցունակ համակարգի մշակում և կիրարկում</t>
  </si>
  <si>
    <t>Արդարացի, մոտիվացնող և մրցունակ աշխատանքի վճարման համակարգը ներդրվել է</t>
  </si>
  <si>
    <t>Աշխատանքային առաջխաղացման արդյունավետ և արդարամիտ համակարգի ներդրում</t>
  </si>
  <si>
    <t>Համապատասխան նորմատիվ իրավական ակտերում փոփոխությունները կատարվել են։
Աշխատանքային առաջխաղացման արդյունավետ և արդարամիտ համակարգը ներդրվել է</t>
  </si>
  <si>
    <t xml:space="preserve">ա․ "Մաքսային ծառայողի վարքագծի (էթիկայի) կանոնները հաստատելու մասին" ՊԵԿ նախագահի հրամանում  էթիկայի կանոնների պահպանման նկատմամբ մոնիթորինգի իրականացման դրույթի լրացում </t>
  </si>
  <si>
    <t>էթիկայի կանոնների ուղեցույցների  փաթեթը մշակված է
էթիկայի կանոնների պահպանման նկատմամբ մոնիթորինգի իրականացման մեխանիզմները մշակված են</t>
  </si>
  <si>
    <t>Էթիկայի կանոնների ուղեցույցները հաստատված եմ
էթիկայի կանոնների պահպանման նկատմամբ մոնիթորինգի համակարգը ներդրված է</t>
  </si>
  <si>
    <t xml:space="preserve">բ․ էթիկայի կանոնների ուղեցույցների  փաթեթի մշակում՝ պարտադիր և ցանկալի կանոնների պահպանման վերաբերյալ՝ խախտման դեպքերի նկարագրության օրինակներով </t>
  </si>
  <si>
    <t>գ․ մաքսային ծառայողների համար պարբերական վերապատրաստման դասընթացների կազմակերպում՝ սահմանված չափանիշները մանրակրկիտ ներկայացնելու և դրանց հավատարիմ աշխատելաոճ սերմանելու նպատակով</t>
  </si>
  <si>
    <t>դ․ Էթիկայի սահմանված կանոնների պահպանման մոնիթորինգային մեխանիզմի մշակում՝ սահմանելով մոնիթորինգի և գնահատման չափանիշներ, պարբերականությունը,, հետադարձ կապի մեխանիզմները</t>
  </si>
  <si>
    <t>ՄՌԿ գործընթացների իրականացման ընթացակարգերի արդիականացման առաջարկությունների մշակում</t>
  </si>
  <si>
    <t>ՄՌԿ մասնագետներին անհրաժեշտ գիտելիքներով և հմտոություններով ապահովում</t>
  </si>
  <si>
    <t>Նոր աշխատակիցների ադապտացման ծրագրի առկայություն</t>
  </si>
  <si>
    <t>ա․ մաքսային ծառայության յուրաքանչյուր աշխատատեղի գործառույթների իրականացման թիրախային բնութագրական ցուցանիշների ցանկի ստեղծում</t>
  </si>
  <si>
    <t>բ․ մաքսային ծառայողների հիմնական կատարողական ցուցանիշների (KPI) բազայի ստեղծում, որտեղ ղեկավար աշխատակիցների KPI-ները կներկայացվեն առանձին</t>
  </si>
  <si>
    <t>ե․ մաքսային ծառայողների արդյունքային ցուցանիշների հաշվարկման մեթոդաբանության մշակում</t>
  </si>
  <si>
    <t>զ․ Արդյունքային ցուցանիշների համակարգի ինտեգրում գործող օպերացիոն (trade.gov) համակարգի հետ՝ թիրախային ցուցանիշների առցանց հաշվարկի իրականացման նպատակով</t>
  </si>
  <si>
    <t>է․ արդյունքային ցուցանիշների համակարգի առցանց հասանելիության ապահովում՝  թիրախային ցուցանիշների առցանց հաշվարկի իրականացման համար</t>
  </si>
  <si>
    <t>ը․ կատարողականի գնահատման համակարգի ինտեգրում մաքսային ծառայության ՄՌԿ տեղեկատվական համակարգին։</t>
  </si>
  <si>
    <t xml:space="preserve">Մաքսային ծառայողների կատարողականը գնահատվում է կիսամյակը մեկ անգամ՝ ՀՀ կառավարության 2011 թվականի հոկտեմբերի 20-ի N 1510-Ն որոշմամբ սահմանված կարգով՝ Mulberry էլեկտրոնային փաստաթղթաշրջանառության համակարգով։Կատարողականի գնահատման համակարգի գործունեության ուսումնասիրության և մոնիթորինգի համակարգ  մշակված չէ և չի իրականացվում։ Աշխատանքի կատարողականի գնահատման համակարգի կայացման անհրաժեշտությունը, համապատասխան իրավական ակտերում պետք է նախատեսել դրույթ՝ եռամսյակային պարբերականությամբ համակարգի գործունեության ուսումնասիրության և մոնիթորինգի իրականացման պահանջի վերաբերյալ։ Մոնիթորինգի արդյունքներով կազմել հաշվետվություններ՝ համակարգում տեղ գտած խնդիրների բացահայտման և դրանց հնարավոր լուծումներ տալու առաջարկությունների վերաբերյալ։ </t>
  </si>
  <si>
    <t xml:space="preserve"> Մաքսային ծառայության համակարգի գործունեության՝ եռամսյակային պարբերականությամբ ուսումնասիրության և մոնիթորինգի իրականացման պահանջի վերաբերյալ համապատասխան իրավական ակտում կատարված փոփոխություններ</t>
  </si>
  <si>
    <t>Մաքսային ծառայողների աշխատելաոճի, էթիկական կանոնների վերանայում և ապահովման վերահսկում</t>
  </si>
  <si>
    <t>4․1․3</t>
  </si>
  <si>
    <t>4․1․4</t>
  </si>
  <si>
    <t>4.2.2</t>
  </si>
  <si>
    <t>Մաքսային ընթացակարգերի, համակարգերի կամ գործելաոճի փոփոխությունները հաճախ կարող են չնախատեսված խնդիրներ կամ մարտահրավերներ ներկայացնել անձնակազմի համար, որոնք ստիպված են հարմարվել աշխատանքի նոր կանոններին: Առանց հետադարձ կապի համապատասխան մեխանիզմի մշակման հնարավոր խնդիրներն ու խոչընդոտները կարող են չլուծվել՝ հանգեցնելով անարդյունավետության և փոփոխություններից ակնկալվող արդյունքների մասնակի իրագործման</t>
  </si>
  <si>
    <t>դ․ իրականացված փոփոխության արդյունքների ամփոփում, անհրաժեշտության դեպքում, նոր աշխատանքների նախաձեռնման կամ փոփոխության առաջարկների մշակում</t>
  </si>
  <si>
    <t>բ․ իրականացված վերլուծության հիման վրա բիզնես գործընթացների քարտեզագրում՝  անարդյունավետ ընթացակարգերը, կրկնվող կամ ավելորդ  գործողությունները վերհանելու նպատակով</t>
  </si>
  <si>
    <t>ՀՀ ՊԵԿ մաքսային ծառայության կողմից իրականացվող ընթացակարգերի արդյունավետությունն ապահովելու նպատակով նպատակահարմար է իրականացնել կիրառվող բիզնես գործընթացների մանրամասն ուսումնասիրություն, վերլուծություն՝ վերհանելու հնարավոր բացերը, ստանդարտացման կամ օպտիմալացման կարիք ունեցող գործառնությունները։ Ստանդարտացված ընթացակարգերի հիման վրա հստակ արձանագրությունների մշակումը հնարավորություն կտա զգալիորեն բարելավել ծառայությունների որակը, գործառույթների արդյունավետությունը, ապահովել ընթացակարգերի հստակություն և հետևողականություն՝ անկախ անձնակազմի անդամների փոփոխություններից</t>
  </si>
  <si>
    <t>Օպտիմալացված բիզնես գործընթացների հիման վրա հստակ աշխատանքային արձանագրությունների առկայություն</t>
  </si>
  <si>
    <t>ը․ մշակված արձանագրությունների կիրառման մոնիթորինգի իրականացման մեխանիզմի մշակում</t>
  </si>
  <si>
    <t xml:space="preserve">ա․ մաքսային մարմնի աշխատակիցների պաշտոնի նկարագրերի (անձնագրերի) ուսումնասիրություն՝ վերհանելու նկարագրված գործառույթների և փաստացի իրականացվող գործընթացների և ընթացակարգերի միջև առկա անհամապատասխանությունները </t>
  </si>
  <si>
    <t>Հաշվի առնելով ՀՀ ՊԵԿ մաքսային մարմնի բիզնես գործընթացների օպտիմալացման և վերակառուցման շրջանակներում իրականացվող միջոցառումները՝ մաքսային ծառայողների ներկայիս պաշտոնի անձնագրերը կարող են չհամապատասխանել կամ ամբողջությամբ չարտացոլել նրանց կողմից իրականացվող գործառույթները: Սա կարող է հանգեցնել պարտականությունների և արդյունավետության անհամապատասխանության, ինչը կարող է ազդել մաքսային գործառնությունների ընդհանուր որակի վրա</t>
  </si>
  <si>
    <t>Կադրային ռեզերվի  ռեգիստրի ձևավորման պահանջների սահմանում</t>
  </si>
  <si>
    <t>Մաքսային հսկողության շեշտադրման տեղափոխումը նախաբացթողումային փուլից հետբացթողումային փուլ անցնելու շրջանակներում մաքսային մարմնի աշխատակազմի կարողությունների բարձրացում՝ փորձի փոխանակման, դասընթացների, միջազգային փորձագետների ներգրավմամբ սեմինարների կազմակերպման միջոցով</t>
  </si>
  <si>
    <t xml:space="preserve">ա․ ՀՀ ՊԵԿ մաքսային մարմնի կառուցվածքային ստորաբաժանումների մարդկային  ռեսուրսների գնահատում՝ համադրելով փաստացի իրականացվող աշխատանքի ծավալների, բարդության, պահանջվող ժամանակի հետ </t>
  </si>
  <si>
    <t>Հաշվի առնելով մաքսային մարմնի կողմից իրականացվող գործառույթների, մատուցվող ծառայությունների և նոր տեխնոլոգիաների ներդրման տեմպերը, ինչպես նաև ՀՀ ՊԵԿ զարգացման ռազմավարությամբ նախատեսված միջոցառումների ծավալը՝ նպատակահարմար է իրականացնել մարդկային ռեսուրսների գնահատում՝ ապահովելու իրականացվող գործառույթների, մատուցվող ծառայությունների որակի և մարդկային ներուժի համապատասխանություն։ Այս առումով, անհրաժեշտ է առանձնահատուկ ուշադրություն դարձնել ՏՏ նախաձեռնությունների իրականացման համար պահանջվող ռեսուրսների համալրմանը՝ հաշվի առնելով, որ իրականացվող միջոցառումները կարող են պահանջել լիովին նոր հմտություններ ունեցող անձնակազմով համալրում։</t>
  </si>
  <si>
    <t>Մարդկային ռեսուրսների կառավարման ստորաբաժանման նոր գործառույթների իրականացման համար վերապատրաստման կարիքների գնահատում, շարունակական վերապատրաստումների իրականացում, միջազգային փորձի ուսումնասիրություն՝ ՄՌԿ մասնագետների վերապատրաստման առաջադեմ մեթոդների և թեմաների կիրառման նպատակով, վերապատրաստման ուսումնական նյութերի փոխանակման մեխանիզմների մշակում։</t>
  </si>
  <si>
    <t>Ինովացիոն լաբորատորիայի հայեցակարգի մշակումը նպատակ ունի ձևավորել դինամիկ միջավայր նորարար լուծումների փորձարկման և կատարելագործման համար՝ նախքան լայնամասշտաբ իրականացումը: Նման  մոտեցումը հնարավորություն կընձեռի  ավելի ճկուն որոշումներ կայացնել նախագծերի իրականացման կամ դրանց իրականացումից հրաժարվելու համար՝ հիմնվելով հստակ արդյունքային ցուցանիշների վրա</t>
  </si>
  <si>
    <t>բ․ ինովացիոն լաբորատորիայի կառավարման կառուցվածքի սահմանում՝ դիտարկելով մաքսային մարմնի ներկայացուցիչների ներգրավման, միջգերատեսչական աշխատանքային խմբի ձևավորման, մասնավոր ընկերության ներգրավման կամ պետություն-մասնավոր համագործակցության  շրջանակներում գործառույթների և կառավարման մոդելի այլ մեխանիզմներ</t>
  </si>
  <si>
    <t>Մաքսային մարմինների կողմից մատուցվող ծառայությունների արդյունավետության գնահատման նպատակով գործառույթների իրականացման ժամանակի և որակի վերահսկման մեխանիզմների մշակում և ներդրում</t>
  </si>
  <si>
    <t>Սահմանահատման գործընթացի դյուրացման տեսանկյունից կարևոր է մաքսային գործընթացների իրականացման համար չափորոշիչների սահմանումը, ինչպես նաև վերահսկողության գործուն մեխանիզմների առկայությունը, որոնք հնարավորություն կտան մշտադիտարկել իրականացվող գործընթացների ժամկետները, որակը և պարբերաբար իրականացնել աշխատանքներ սահմանահատման գործընթացի բարելավման ուղղությամբ</t>
  </si>
  <si>
    <t>դ․ մաքսային ծառայողների կատարողականի գնահատման համակարգում 360 աստիճանի գնահատման մեթոդի ներդնում՝ գնահատման օբյեկտիվությունը բարձրացնելու նպատակով։</t>
  </si>
  <si>
    <t xml:space="preserve">ՀՀ կառավարության 20․11․2011թ․ N 1510-Ն որոշմամբ հաստատված կարգի համաձայն աշխատանքային ծրագրերը կազմվում են տարեկան կտրվածքով տարբեր մակարդակներում՝ աշխատակիցների, ստորաբաժանման ղեկավարի, գլխավոր քարտուղարի և կազմակերպության համար։ Աշխատանքային ծրագրերում ներառվում են հաջորդ տարվա ընթացքում կատարման ենթակա աշխատանքները՝ իրենց նպատակներով, ակնկալվող արդյունքներով, աշխատանքը բնութագրող արդյունքային ցուցանիշնեըով և աշխատանքի արդյունքում ստացվող փաստաթղթի տեսակով։ Կառավարության որոշմամբ սահմանված է նաև աշխատանքային ծրագրի ձևաչափը և ծրագրի լրացման սկզբունքները։ Աշխատանքային ծրագրի մասերի իրացման բացատրությունը բավարար չէ ճիշտ և պատշաճ որակով ծրագիրը կազմելու համար։ Հաշվի առնելով մաքսային ծառայության առանձնահատկությունները և նրանց կողմից կատարվող աշխատանքների յուրահատկությյունները առաջանում է մաքսային ծառայողների աշխատանքային ծրագրերի կազմման մեթոդական ուղեցույցների  մշակման անհրաժեշտություն, որով մանրամասն նկարագրված կլինեն մաքսային ծառայողների  կողմից իրականացվող աշխատանքների նպատակների և ցուցանիշների մշակման պահանջները՝ կոնկրետ օրինակներով։ </t>
  </si>
  <si>
    <t>ը. գնման գործընթացի կազմակերպում 
(ըստ անհրաժեշտության)</t>
  </si>
  <si>
    <t>գ․ երկկողմ համաձայնագրերով նախատեսված տեղեկատվության փոխանակման,  մշակման և կիրառման մասով աշխատանքների պլանավորում, այդ թվում՝ լիազորված տնտեսական օպերատորների կարգավիճակների փոխադարձ ճանաչման և առևտրային փոխգործակցության նախագծերի իրականացման վերաբերյալ</t>
  </si>
  <si>
    <t>ՊԵԿ
ԱԳՆ
ԷՆ</t>
  </si>
  <si>
    <t>Մաքսային գործառնությունների տարբեր փուլերի առանձնացված մշտադիտարկման համակարգի գործարկում և մշտադիտարկման արդյունքների շարունակական վերլուծություն, գործառնությունների վրա ծախսվող ժամանակի կրճատման նպատակով</t>
  </si>
  <si>
    <t>Մաքսային գործառնությունների տարբեր փուլերի արդյունավետ մոնիթորինգ</t>
  </si>
  <si>
    <t>Նախնական հայտարարագրման էլեկտրոնային համակարգի արդյունավետ գործարկմանը խոչընդոտող խնդիրների վերհանում, համակարգի կիրառման շրջանակների ընդլայնում, համակարգի շարունակական մշտադիտարկում և օպտիմալացում, ընթացակարգից օգտվող ԱՏԳ մասնակիցների համար որոշակի խթանների նախատեսում</t>
  </si>
  <si>
    <t>բ․նախնական հայտարարագրման համակարգի օգտվողների շրջանակի ընդլայնման հնարավորությունների ուսումնասիրություն և սահմանում</t>
  </si>
  <si>
    <t>գ․ ԱՏԳ մասնակիցներին նախնական հայտարարագրման համակարգի կիրառման հնարավոր լրացուցիչ խթանների նույնականացում</t>
  </si>
  <si>
    <t>դ․ նախնական հայտարարագրման համակարգի օգտվողների շրջանակների ընդլայնման և առաջարկվող առավելությունների սահմանում համապատասխան իրավական ակտով</t>
  </si>
  <si>
    <t>ե․ նախնական հայտարարագրման առավելությունների վերաբերյալ իրազեկման միջոցառումների իրականացում</t>
  </si>
  <si>
    <t>զ․ համակարգի շարունակական մոնիթորինգի իրականացում, բարելավման առաջարկների մշակում,այդ թվում՝ օգտվողների կարծիքի, աշխատանքի արդյունքների հիման վրա</t>
  </si>
  <si>
    <t>դ․ ՀՀ տնտեսվարող սուբյեկտներին լիազորված տնտեսական օպերատորների ինստիտուտի վերաբերյալ հանրային իրազեկումների իրականացում, այդ թվում՝ ծանուցումների միջոցով</t>
  </si>
  <si>
    <t>Որոնողական համակարգի մշակում և տեղակայում ՊԵԿ-ի, Էկոնոմիկայի նախարարության կայք էջերում, որով հնարավոր կլինի մուտքագրելով ապրանքի ԱՏԳ ԱԱ ծածկագիրը, ստանալ տվյալ ապրանքի ներմուծման (արտահանման) համար սակագնային և ոչ սակագնային կարգավորման միջոցների, մասնավորապես՝ թույլտվությունների, լիցենզիաների, քվոտաների, սերտիֆիկացիաների, մաքսային վճարների, դրանց  դրույքաչափերի, վճարային  արժույթի տեսակի և մաքսային ձևակերպումների համար այլ անհրաժեշտ տեղեկությունների վերաբերյալ</t>
  </si>
  <si>
    <t xml:space="preserve">Ներկայումս ներմուծման և արտահանման ընթացակարգերում կիրառվող  սակագնային և ոչ սակագնային կարգավորումների մասին  տեղեկատվությունը հասանելի է համապատասխան օրենքներում, որոշումներում և այլ իրավական ակտերում։ Այսինքն բացակայում են առանձնացված պարզ և հստակ սահմանված կարգավորումները՝ ըստ ապրանքի ԱՏԳ ԱԱ ծածկագրերի, ինչը կարող է լրացուցիչ մարտահրավերներ ստեղծել ներմուծողների և արտահանողների համար, հատկապես օտարերկրյա ԱՏԳ իրականացնողների համար: Կենտրոնացված որոնման համակարգի մշակումը շահագրգիռ կողմերին կապահովի մաքսային ձևակերպումների հետ կապված բոլոր անհրաժեշտ տեղեկատվության հասանելիություն: Այս նախաձեռնության նպատակն է բարձրացնել թափանցիկությունը, արդյունավետությունը և ԱՏԳ իրականացնողների համար հարմարավետությունը՝ պարզեցնելով ներմուծման/արտահանման գործընթացը </t>
  </si>
  <si>
    <t>գ․ մաքսային լաբորատորիաների ձևավորմանը վերաբերող իրավական դաշտի ուսումնասիրություն, ըստ անհրաժեշտության իրավական ակտերի մշակում»՝ հաշվի առնելով այն, որ «Մաքսային կարգավորման մասին» օրենքի կիրարկման շրջանակներում մշակվել և ընդունվել են համապատասխան իրավական կարգավորումներ</t>
  </si>
  <si>
    <t>ա. Մեղրիի մաքսային կետ-բաժնի արդիականացման աշխատանքների իրականացում</t>
  </si>
  <si>
    <t>Գործընկեր երկրների հետ կնքվել են համաձայնագրեր (պայմանագրեր) կամ առկա համաձայնագրերում կատարվել են փոփոխություններ</t>
  </si>
  <si>
    <t xml:space="preserve">Իրավապահ հարցերով կանոնակարգերի մշակում և կանոնավոր թարմացում, այդ թվում՝ օպերատիվ տեղեկությունների փոխանակման նպատակով այլ իրավապահ լիազոր մարմինների հետ օպերատիվ տեղեկությունների փոխանակման նպատակով </t>
  </si>
  <si>
    <t>Մաքսային կարգավորման մասին ՀՀ օրենքի կիրարկման արդյունքում գույքագրված խնդիրների լուծման նպատակով օրենսդրության վերանայում</t>
  </si>
  <si>
    <t>ա․ օրենսդրական կարգավորումների վերանայման և այլ ստորաբաժանումներից ստացված առաջարկների գույքագրում և ուսումնասիրություն</t>
  </si>
  <si>
    <t>բ․ իրականացված վերլուծության կամ ստացված առաջարկների տեղայնացման նպատակով իրավական կարգավորումների լրամշակման կամ նոր ակտերի  նախագծերի մշակում և ներկայացում հաստատման</t>
  </si>
  <si>
    <t xml:space="preserve">Հաշվի առնելով մաքսային ոլորտում իրականացվող իրավական, ընթացակարգային փոփոխությունները, ինչպես նաև տեխնոլոգիական առաջընթացով պայմանավորված բիզնես գործընթացների փոփոխությունները և  իրավական դաշտի համապատասխանեցման անհրաժեշտությունը նպատակահարմար է ապահովել պարբերական ուսումնասիրություններ, թարմացումներ, որպեսզի փաստացի իրականացվող ընթացակարգերը և իրավական դաշտը լինեն համահունչ: Առանց իրավական կարգվորումների վերանայումների, օրենսդրությունը կարող է ժամանակավրեպ լինել և չհամապատասխանել ընթացիկ մարտահրավերներին և պահանջներին: </t>
  </si>
  <si>
    <t>Իրականացված վերլուծության համապատասխան իրավական կարգավորումների ընդունում</t>
  </si>
  <si>
    <t>Իրավական կարգավորումները ընդունված են</t>
  </si>
  <si>
    <t>ԵԱՏՄ շրջանակներում էլեկտրոնային առևտրի համար հարկերի ու վճարների գանձման և հսկողության մեխանիզմների կատարելագործում</t>
  </si>
  <si>
    <t>3.1.8</t>
  </si>
  <si>
    <t>ա. ԵԱՏՄ նոր կարգավորումների ուսումնասիրություն</t>
  </si>
  <si>
    <t>գ. գնման գործընթացի կազմակերպում (ըստ անհրաժեշտության)</t>
  </si>
  <si>
    <t xml:space="preserve">ՊԵԿ
ՖՆ
ԷՆ
</t>
  </si>
  <si>
    <t>Էլեկտրոնային առևտրի ծավալների ընդլայնմանը զուգահեռ անհրաժեշտություն է առաջանում կատարելագործել նաև այդ մասով իրականացվող վարչարարության մեխանիզմները։ ԵԱՏՄ շրջանակներում ընդունվել են էլեկտրոնային առևտրի համար հարկերի ու վճարների գանձման և հսկողության նոր կարգավորումներ, որոնց իրականացման ուղղությամբ անհրաժեշտ է նախաձեռնել համապատասխան մեխանիզմների կիրարկում։</t>
  </si>
  <si>
    <t>Մաքսային օրենսդրությամբ սահմանված՝ հայտարարագրման առանձնահատկությունների (մասնավորապես, պարբերական հայտարարագրում, ոչ ամբողջական հայտարարագրում) կիրառման հնարավորությունների և շրջանակների ուսումնասիրության իրականացում, ինչպես նաև հայտարարագրման նոր՝ միջազգային պրակտիկայում կիրառվող առանձնահատկությունների (մասնավորապես՝ ԼՏՕ հանդիսացող անձի հաշվառման համակարգում նշումների իրականացման միջոցով հայտարարագրման առանձնահատկություններ) սահմանման նպատակով ուսումնասիրության իրականացում, ըստ անհրաժեշտության իրավակարգավորումների սահմանում և/կամ դրանց կատարելագործում</t>
  </si>
  <si>
    <t>ա․ մաքսային օրենսդրությամբ սահմանված՝ հայտարարագրման առանձնահատկությունների ուսումնասիրություն և դրանց տեղայնացման հնարավորությունների գնահատում</t>
  </si>
  <si>
    <t>բ․ անհրաժեշտության դեպքում համապատասխան ընթացակարգերի սահմանում և իրականացման միջոցառումների իրականացում</t>
  </si>
  <si>
    <t>Մաքսային օրենսդրությամբ սահմանված՝ հայտարարագրման առանձնահատկությունների ներդրում</t>
  </si>
  <si>
    <t>Մաքսային օրենսդրությամբ նախատեսված հայտարարագրման առանձնահատկությունները ներդրված են</t>
  </si>
  <si>
    <t xml:space="preserve">ՊԵԿ
ԷՆ
ՖՆ
</t>
  </si>
  <si>
    <t>«Կանաչ մաքսային մարմին» հայեցակարգի մշակում և իրականացում</t>
  </si>
  <si>
    <t xml:space="preserve">ա․ մաքսային մարմնի գործառնությունների ուսումնասիրություն, այն գործառույթների իդենտիֆիկացում, որոնք փոխկապակցված են Կայուն զարգացման նպատակների հետ </t>
  </si>
  <si>
    <t>բ․ վերհանված մաքսային գործառնությունների ազդեցության գնահատում բացահայտված Կայուն զարգացման նպատակների վրա</t>
  </si>
  <si>
    <t>գ․ վերլուծության իրականացում՝ սահմանելու մաքսային գործառնությունների օպտիմալացման հնարավորությունները և առաջնահերթությունը՝ Կայուն զարգացման նպատակների վրա ազդեցության համատեքստում</t>
  </si>
  <si>
    <t>դ․ տեխնիկատնտեսական հիմնավորման մշակում՝ սահմանելով առաջարկվող «Կանաչ մաքսային մարմին» նախաձեռնության գործնական հետևանքները</t>
  </si>
  <si>
    <t>ե․ «Կանաչ մաքսային մարմին» հայեցակարգի մշակում՝ հիմնվելով իրականացված վերլուծությունների վրա</t>
  </si>
  <si>
    <t>զ․ «Կանաչ մաքսային մարմին» հայեցակարգի ներդրման գործողությունների ծրագրի մշակում և իրականցում գործողությունների ծրագրին համապատասխան</t>
  </si>
  <si>
    <t>«Կանաչ մաքսային մարմին» հայեցակարգ, որը համահունչ է Կայուն զարգացման նպատակներին և արտացոլում է մաքսային գործառնությունների շրջակա միջավայրի վրա ազդեցության հիմնական ոլորտներին</t>
  </si>
  <si>
    <t xml:space="preserve">Համապատասխան իրավական ակտերում փոփոխությունների վերաբերյալ առաջարկությունները քննարկվել են և կայացվել է հետագա ընթացքի ապահովման մասով որոշում
</t>
  </si>
  <si>
    <t>Վերացվել են մաքսային ծառայողի աշխատանքային առաջխաղացմանը խոչընդոտող իրավական կարգավորումները։
Ներկայացվել է պարզ առաջխաղացման ճանապարհ (career path) մաքսային ծառայողների համար</t>
  </si>
  <si>
    <t>Արդիականացման կարիք ունեցող ՊԵԿ աշխատակիցների կենսական օգտագործման ենթակառուցվածքների առնվազն 90% արդիականացված է</t>
  </si>
  <si>
    <t>ՄՌԿ համակարգի ներդրման նպատակով առաջարկությունները մշակված են</t>
  </si>
  <si>
    <t>ՄՌԿ համակարգը ներդրված է</t>
  </si>
  <si>
    <t>դ․ մարդկային ռեսուրսների կառավարման ստորաբաժանման  մասնագետների նկատմամբ անհրաժեշտ հմտությունների տիրապետման   պահանջի սահմանում՝ ըստ տիրապետման մակարդակների</t>
  </si>
  <si>
    <t>բ․ նկարագրված բիզնես գործընթացների վերլուծություն, ընթացակարգերով սահմանված գործընթացների անհամապատասխանության վերհանում</t>
  </si>
  <si>
    <t>գ․ գործող ընթացակարգերի վերանայում և արդիականացում</t>
  </si>
  <si>
    <t>ՄՌԿ արդիականացված և ներդրված բիզնես գործընթացներ</t>
  </si>
  <si>
    <t>ա․ մաքսային ծառայության մարդկային ռեսուրսների կառավարման ստորաբաժանմանը վերապահված գործառույթների արդյունավետ իրականացման համար աշխատակիցների վերապատրաստման կարիքների գնահատում</t>
  </si>
  <si>
    <t>բ․ գնահատված կարիքների հիման վրա աշխատակիցների շարունակական և պարբերական վերապատրաստման ծրագրերի մշակում</t>
  </si>
  <si>
    <t>գ․ վերապատրաստման մեթոդների և միջոցների ընտրություն՝ ուսումնասիրելով նաև ՄՌԿ մասնագետների վերապատրաստման միջազգայնորեն ճանաչված գործող մեթոդները, միջոցները և հաջողված փորձը</t>
  </si>
  <si>
    <t>Առևտրի խթանման ինովացիոն հարթակի (լաբորատորիայի) ստեղծման հայեցակարգի մշակում, որը կծառայի որպես պետական, մասնավոր հատվածների և տեխնոլոգիական փորձագետների համագործակցության էկոհամակարգ՝ փորձարկումներ իրականացնելու և նախատիպեր ստեղծելու համար: Այն հնարավորություն կտա փոքր մասշտաբով փորձարկել նոր հայեցակարգերը, մեթոդաբանությունները և տեխնոլոգիաները՝ նախքան ամբողջական ներդրումն ու շահագործումը</t>
  </si>
  <si>
    <t>Ադապտացիոն ծրագրով անցնում են ՊԵԿ բոլոր նոր աշխատակիցները</t>
  </si>
  <si>
    <t xml:space="preserve">Վերապատրասրաստման գործընթացի պատասխանատուների պատասխանատվության շրջանակը սահմանված է </t>
  </si>
  <si>
    <t>ա․ վերապատրաստման հատուկ ծրագրի (TOT) մշակում</t>
  </si>
  <si>
    <t>Վերապատրաստողների  գիտելիքների և դասավանդման ունակությունների զարգացման ծրագիրը մշակված է</t>
  </si>
  <si>
    <t>բ․ Ուսումնական կենտրոնի կանոնադրությունում նախատեսել  իր անձնակազմից ընտրված և հրավիրված դասընթացավարների (վերապտրաստողների) գիտելիքների և դասավանդման ունակությունների զարգացման ապահովման գործառույթ</t>
  </si>
  <si>
    <t>գ․ կազմակերպել  (TOT) ծրագրով վերապատրաստողների պարբերական վերապատրաստման դասընթացներ</t>
  </si>
  <si>
    <t xml:space="preserve">2022 թվականի հոկտեմբերից ՀՀ Պետական եկամուտների կոմիտեի աշխատակիցները հնարավորություն են ստացել օգտվելու CLiKC!  ուսուցման  հարթակից: Մաքսային տարբեր թեմաներով դասընթացներն այժմ անվճար հասանելի են 8 լեզուներով՝ նպաստելով մաքսային գիտելիքների փոխանակմանը և փոխգործակցության ապահովմանը: CLiKC! ուսուցման հարթակի աշխատանքների համակարգումը իրականացնում է Ուսումնական կենտրոնը: 
Միաժամանակ, վերապատրաստման ծրագրերը մշակելիս հաշվի չեն առնվում ԵՄ մաքսային CFW- ի փաստաթղթերը և ՀՄԿ համառոտագիրը  (WCO Compendium): </t>
  </si>
  <si>
    <t>էլեկտրոնային ուսուցման դասընթացների տեղայնացման առաջարկները մշակված են</t>
  </si>
  <si>
    <t xml:space="preserve"> e-learning հարթակը գործում է</t>
  </si>
  <si>
    <t>ա․ Ուսումնասիրել ԵՄ Մաքսային Կոմպետենցիաների շրջանակի (EU Customs CFW) ներկայացրած մաքսային մարմիների կոմպետենցիաների դասակարգումը և տիրապետման մակարդակները</t>
  </si>
  <si>
    <t xml:space="preserve">Վերապատրաստման ծրագրերը մշակելիս հաշվի չեն առնվում ԵՄ մաքսային CFW- ի փաստաթղթերը և ՀՄԿ համառոտագիրը  (WCO Compendium): 
«ԵՄ Մաքսային կոմպետենցիաների շրջանակը» (EU Competency Framework) հանդիսանում է բոլոր ԵՄ անդամ պետությունների (ԱՊ) մաքսային վարչակազմերում ծառայությունների մատուցման մշտական բարձր ստանդարտներ սահմանելու մեխանիզմ: Այն ԵՄ ներդաշնակեցված մոտեցում և հիմք է հանդիսանում ընդհանուր վերապատրաստման և կրթության շրջանակ սահմանելու համար՝ ԱՊ աջակցելու մաքսային մասնագիտության համար անհրաժեշտ հմտություններն ու գիտելիքները տրամադրելու գործում: 
ԵՄ մաքսային Կոմպետենցիաների շրջանակը ներկայացնում է ինչպես մաքսային մարմիների կոմպետենցիաների դասակարգումը և տիրապետման մակարդակները, դրանց  նկարագրությունները, այնպես էլ բոլոր կոմպետենցիաների տիրապետման գծով վերապատրաստման թեմաները և վերապատրաստումից ակնկալվող արդյունքները։
Համաշխարհային մաքսային կազմակերպության  (ՀՄԿ WCO) առաքելությունն է  բարձրացնել մաքսային վարչարարության արդյունավետությունը և արդյունքայնությունը։ ՀՄԿ ստեղծած WCO Compendium-ներից CliKC (Customs Learning &amp; Knowledge Community) ուսուցման հարթակում Մաքսային ծառայության աշխատակիցները կարող են  ձեռք բերել առկա ուսուցողական նյութերի և օգտակար տեղեկատվության ոսկու հանք` էլեկտրոնային (e-learning) ուսուցման դասընթացներից մինչև պլանային գլոբալ և տարածաշրջանային դասընթացներ։ </t>
  </si>
  <si>
    <t>Մաքսային ծառայողների կոմպետենցիաների դասակարգման և տիրապետման մակարդակների համակարգը  ներդրված է</t>
  </si>
  <si>
    <t>Մաքսային ծառայողների կոմպետենցիաների դասակարգումը և տիրապետման մակարդակները  սահմանվում են ներդրված  համակարգի միջոցով</t>
  </si>
  <si>
    <t>բ․ ուսումնասիրել ԵՄ Մաքսային Կոմպետենցիաների շրջանակի կոմպետենցիաների նկարագրությունները</t>
  </si>
  <si>
    <t>գ․ ԵՄ Մաքսային Կոմպետենցիաների շրջանակի  տեղայնացման և պաշտոնների անձնագրերում կոմպետենցիաների նկատմամբ պահանջները սահմանելու համար դրանց կիրատման մեխանիզմների մշակում</t>
  </si>
  <si>
    <t>ա․ մշակել ստորաբաժանումների աշխատակիցների՝ ղեկավարության հետ կանոնավոր հանդիպումների ընթացակարգ ՊԵԿ տարբեր ստորաբաժանումների աշխատակիցների, աշխատակիցների և ղեկավարության հետ կանոնավոր հանդիպումների մեխանիզմներ</t>
  </si>
  <si>
    <t>Մաքսային ծառայության ստորաբաժանումների աշխատակիցների՝ ղեկավարության հետ կանոնավոր հանդիպումների մեխանիզմը մշակված է</t>
  </si>
  <si>
    <t>Մաքսային ծառայության ստորաբաժանումների աշխատակիցների՝ ղեկավարության հետ կանոնավոր հանդիպումները իրականացվում են սահմանված ընթացակարգով</t>
  </si>
  <si>
    <t>բ․ մշակել ստորաբաժանումների աշխատակիցների՝ ղեկավարության հետ կանոնավոր հանդիպումների իրականացման ուղեցույցներ</t>
  </si>
  <si>
    <t>գ․ մշակել ստորաբաժանումների աշխատակիցների՝ ղեկավարության հետ կանոնավոր հանդիպումների արձանագրման և հաշվետվությունների կազմման ընթացակարգեր և ձևաչափեր։</t>
  </si>
  <si>
    <t>«Կանաչ մաքսային մարմին» հայեցակարգը և գործողությունների ծրագիրը  հաստատված է, միջոցառումների ծրագրով նախատեսված գործողությունները իրականացված են</t>
  </si>
  <si>
    <t xml:space="preserve">ՊԵԿ մաքսային մարմինները անհրաժեշտ սարքավորումներով ապահովում, այդ թվում՝ ռենտգենյան, մաքսային հսկողության ու օպերատիվ-հետախուզական միջոցառումների անցկացման համար </t>
  </si>
  <si>
    <t>է․ միջազգային փոստային, սուրհանդակային առաքումների մաքսային հսկողության ենթակառուցվածքների գնահատում, կարիքների վերհանում և բարելավման միջոցառումների իրականացում</t>
  </si>
  <si>
    <t>դ. գնման գործընթացի կազմակերպում (անհրաժեշտության դեպքում)</t>
  </si>
  <si>
    <t>բ․ նախաձեռնել մաքսային ծառայողի վարքագծի կանոնների նոր քաղաքականութան մշակման գործընթաց։</t>
  </si>
  <si>
    <t>գ․ Առևտրի դյուրացման ազգային կոմիտեի կանոնադրության մշակում՝ սահմանելով նիստերի պարբերականություն, քարտուղարության դերն ու պատասխանատվությունը և այլն</t>
  </si>
  <si>
    <t xml:space="preserve">բ․ Առևտրի դյուրացման ազգային կոմիտեի ստեղծման հայեցակարգի մշակում՝ նախատեսելով գործառույթների շրջանակը, գնահատելով ելակետային բազային ցուցանիշները և սահմանելով համապատասխան թիրախային արդյունքային ցուցանիշները 
</t>
  </si>
  <si>
    <t>Ելակետային բազային ցուցանիշների հիման վրա սահմանված թիրախային արդյունքային ցուցանիշների ապահովում</t>
  </si>
  <si>
    <t>5-10%</t>
  </si>
  <si>
    <t>գ. գնման գործընթացի կազմակերպում (անհրաժեշտության դեպքում)</t>
  </si>
  <si>
    <t>դ. գնման գործընթացի կազմակերպում  (անհրաժեշտության դեպքում)</t>
  </si>
  <si>
    <t>զ. գնման գործընթացի կազմակերպում (անհրաժեշտության դեպքում)</t>
  </si>
  <si>
    <t>գ. գնման գործընթացի կազմակերպում  (անհրաժեշտության դեպքում)</t>
  </si>
  <si>
    <t>զ. գնման գործընթացի կազմակերպում  (անհրաժեշտության դեպքում)</t>
  </si>
  <si>
    <t>ե. գնման գործընթացի կազմակերպում  (անհրաժեշտության դեպքում)</t>
  </si>
  <si>
    <t>ե. գնումների գործընթացի կազմակերպում  (անհրաժեշտության դեպքում)</t>
  </si>
  <si>
    <t>դ․  անհրաժեշտ արդիականացման և նոր տեխնոլոգիաների ներդրման համար գնումների պլանի մշակում  (անհրաժեշտության դեպքում) և ՊԵԿ էլեկտրոնային կառավարման համակարգի զարգացման և կատարելագործման խորհրդի կողմից հաստատում</t>
  </si>
  <si>
    <t>գ. Արհեստական բանականության (AI) և մեքենայական ուսուցման (ML)  տեխնոլոգիաների ներդրման համար ՏՏ ենթակառուցվածքների արդիականացման գնումների պլանի մշակում  (անհրաժեշտության դեպքում) և ՊԵԿ էլեկտրոնային կառավարման համակարգի զարգացման և կատարելագործման խորհրդի կողմից հաստատում</t>
  </si>
  <si>
    <t xml:space="preserve"> Անձնական և ոչ անձնական օգտագործման ապրանքների նկատմամբ հսկողությունն իրականացվում է ռիսկերի կառավարման համակարգի միջոցով</t>
  </si>
  <si>
    <t>Ներկայումս օրենսդրությամբ նախատեսված են մաքսային իրավախախտումների համար վարչական պատասխանատվության համակարգ։ Այնուամենայնիվ, միջազգային պրակտիկայի և մաքսային մարմնում իրականացված փոփոխությունների ներքո, ինչպես նաև մաքսային ընթացակարգերի ավելի արդյունավետ և արդար վարչարարության իրականացման նպատակով, անհրաժեշտություն է առաջացել վերանայել և վերլուծել առկա վարչական միջոցառումները: Սա ներառում է խախտման վերաբերյալ գործող դրույթների և կիրառելի պատժամիջոցների գնահատում` պարզելու դրանց համապատասխանությունը արդարության և համաչափության ժամանակակից պահանջներին, ինչպես նաև դրանց արդյունավետությունը ապահովելու համար:</t>
  </si>
  <si>
    <t>Մաքսային մարմինը արտաքին և ներքին թիրախային խմբերի հետ փոխգործակցում է հաղորդակցման պլանին համապատասխան</t>
  </si>
  <si>
    <t>Փոփոխություններից հետո մաքսային գործառնությունների արդյունավետության  տեսանելի բարձրացում</t>
  </si>
  <si>
    <t xml:space="preserve">գ․  մարդկային ռեսուրսների կառավարման ստորաբաժանման կանոնադրության և կազմակերպական կառուցվածքի վերանայում ՝ համապատասխանեցնելով ստորաբաժանման առաքելությանը  </t>
  </si>
  <si>
    <t>դ․ ազգային և միջազգային կազմակերպությունների և այլ երկրների ուսումնական կենտրոնների հետ (այդ թվում ՀՄԿ/WCO և ՏՀԶԿ/OECD երկրների)  ՄՌԿ լավագույն փորձի և ուսումնական նյութերի փոխանակման մեխանիզմների մշակում</t>
  </si>
  <si>
    <t>Մարդկային ռեսուրսների կառավարման գործառույթների ավտոմատացման նպատակով ՄՌԿ համապարփակ տեղեկատվական նոր համակարգի մշակում և ներդնում</t>
  </si>
  <si>
    <t>ՄՌԿ տեղեկատվական նոր համակարգը մշակված է</t>
  </si>
  <si>
    <t>ա․ մաքսային ծառայողների կատարողականի գնահատման բիզնես գործընթացի նկարագրության իրականացում</t>
  </si>
  <si>
    <t>բ. նկարագրության վերլուծության արդյունքների հիման վրա գնահատման գործընթացի պարզեցման և թափանցիկության ապահովման հնարավորությունների վերաբերյալ առաջարկությունների մշակում</t>
  </si>
  <si>
    <t>Կնքված համաձայնագրեր  (պայմանագրեր) կամ գործող համաձայնագրերում փոփոխություններ առնվազն 3 երկրների հետ</t>
  </si>
  <si>
    <t xml:space="preserve">Առկա է սպասվող ապրանքների վերաբերյալ տեղեկատվության ստացման, վերլուծության և հնարավոր ռիսկերի վերհանման հնարավորություն
</t>
  </si>
  <si>
    <t>Օդային տրանսպորտային միջոցով այլ երկրներից դեպի ՀՀ ուղևորվող բոլոր անձանց վերաբերյալ մինչ ժամանելը տեղեկատվության ստացման և վերլուծության, թիրախային հսկողության հնարավորություն</t>
  </si>
  <si>
    <t xml:space="preserve">Էլեկտրոնային հսկողության մեխանիզմները կատարելագործվել են։
Թղթային եղանակով ներկայացվող հաշվետվությունների 90% փոխարինում էլեկտրոնային եղանակով հաշվետվությունների՝ ներդրված համակարգի ֆունկցիոնալության շրջանակներում </t>
  </si>
  <si>
    <t>ՊԵԿ մաքսային մարմինները ապահովված են անհրաժեշտ սարքավորումներով</t>
  </si>
  <si>
    <t>Բոլոր մաքսային հսկողության գոտիները ապահովված են անհրաժեշտ քանակությամբ կինոլոգ-մասնագետներով և ծառայողական շներով</t>
  </si>
  <si>
    <t>Համաշխարհային Բանկի Logistics Performance Index վարկանիշում Հայաստանի դիրքի տարեկան 5 կետով բարելավում</t>
  </si>
  <si>
    <t>Հանրային իրազեկման լայնավածավալ տարեկան առնվազն հինգ միջոցառում իրականացված է</t>
  </si>
  <si>
    <t>Մաքսային ծառայողների էթիկական կարգապահության զգուշացումների առնվազն 70% նվազում</t>
  </si>
  <si>
    <t>Հուշագրերի և/կամ համաձայնագրերի կնքում առնվազն հինգ երկրների հետ</t>
  </si>
  <si>
    <t>30% աճ</t>
  </si>
  <si>
    <t>Սահմանահատման ընթացակարգերի բարելավման առաջարկները հաստատվել են</t>
  </si>
  <si>
    <t>ՊԵԿ
ԱԱԾ
ՆԳՆ
ՍԱՏՄ</t>
  </si>
  <si>
    <t>Ներկայումս առկա չեն մաքսային ծառայողների սոցիալական ապահովմանն առնչվող կարգավորումներ։ Հարկ է նշել, որ համանման կարգավորումներ գործում են ՀՀ այլ իրավապահ մարմիններում, օրինակ՝ ՀՀ ՆԳՆ։
Մաքսային մարմինների առջև դրված խնդիրների արդյունավետ լուծման տեսանկյունից կարևոր է մաքսային ծառայողների մոտիվացվածությունը՝ աշխատանքում ցուցաբերելու բարձր արդյունավետություն և շարունակաբար կատարելագործելու մասնագիտական հմտությունները։ Այդ առումով կարևոր գործոն է մաքսային ծառայողների աշխատանքի վարձատրության, սոցիալական երաշխիքների ապահովման, աշխատանքային առաջխաղացման արդյունավետ և արդարամիտ համակարգի ներդրումը։</t>
  </si>
  <si>
    <t>ե. այլ գերատեսչությունների հետ համագործակցում (օրինակ` ՀՀ ԱԱԾ, ՀՀ ՆԳՆ և այլն), որոնք մաքսային ծառայության հետ համատեղ իրականացնում են ծառայություն մաքսային կետերում՝ ենթակառուցվածքներով ապահովման գործընթացը համատեղ իրականացնելու նպատակով</t>
  </si>
  <si>
    <t>Սերվերային արդյունավետության, տվյալների մշակման արագության և արձագանքման ժամանակի  բարելավում սահմանված՝ չափանիշներին համապատասխան</t>
  </si>
  <si>
    <t>Հայտարարագրման գործընթացի հեռավար կազմակերպման համար համակարգը ներդրված է
Հայտարարագրման գործընթացի հեռավար կազմակերպման համար համակարգից օգտվող տնտեսվարողների թվի տարեկան 15 տոկոսային կետով ավելացում</t>
  </si>
  <si>
    <t xml:space="preserve">31․12․2026թ․
</t>
  </si>
  <si>
    <t>31.12.2024 թ.
շարունակական</t>
  </si>
  <si>
    <t>1.1.6</t>
  </si>
  <si>
    <t>1.2.1</t>
  </si>
  <si>
    <t>1․4.4</t>
  </si>
  <si>
    <t>1.6.1</t>
  </si>
  <si>
    <t>2.2.5</t>
  </si>
  <si>
    <t>2.3.2</t>
  </si>
  <si>
    <t>3.1.4</t>
  </si>
  <si>
    <t>3.1.5</t>
  </si>
  <si>
    <t>Ժամանակակից արագ փոփոխվող աշխարհում, որտեղ աճող հաճախականությամբ նոր սպառնալիքներ և մարտահրավերներ են ի հայտ գալիս, իրավապահ ստորաբաժանումների ճկուն և իրավիճակին համապատասխան ընթացակարգերի և իրավապահ մարմինների միջև տեղեկատվության արդյունավետ փոխանակման կարևորությունը շարունակաբար ավելի է կարևորվում: Գործող կանոնակարգերը պահանջում են կանոնավոր վերանայում և թարմացում՝ ընթացիկ գործառնական կարիքները բավարարելու և փոփոխվող իրավական և գործառնական միջավայրին արագ և արդյունավետ արձագանքելու համար, այդ թվում՝ տեղեկատվական տեխնոլոգիաների նոր հնարավորությունների ներառմամբ:
ԱՀԿ Առևտրային խարդախությունների դեմ աշխատանքային խումբը հետևյալ առաջարկություններն է տվել մաքսայինին մարմիններին պատվիրակվող լիազորությունների վերաբերյալ.
Ստուգում (համապատասխանություն մաքսային օրենսդրությանը), Խուզարկություն (ապօրինի ապրանքների ներմուծում և արտահանում հայտնաբերելու) իրավունք, Նմուշառում, Բռնագրավում, Փաստաթղթերի վերանայման իրավունք, Աուդիտ ներմուծումից և արտահանումից հետո, Կալանավորում և ձերբակալում, Հայցի ներկայացում, Քրեական հետապնդում, Ակտիվների սառեցում, Այլ մաքսային մարմիններից ստացված տեղեկատվության հարցումների փոխանակում։ Հաշվի առնելով, որ տարբեր երկրներում նշված ֆունկցիաներ իրականացնող մարմինները կարող են տարբերվալ, անհրաժեշտ է մշակել հստակ կանոնակարգեր իրավապահ լիազոր մարմինների արդյունավետ աշխատանքը իրականացնելու նպատակով։</t>
  </si>
  <si>
    <t>Գործող օրենսդրությունը նախատեսում է որոշակի գործողությունների իրականացում մաքսային իրավախախտումների դեպքում, սակայն դրանք կարող են ամբողջությամբ չարտացոլել առանձին տեսակի իրավախախտումների լրջությունը: Մաքսանենգության գործունեության մեթոդներն ու շրջանակները անընդհատ փոխվում են, ուստի անհրաժեշտություն կա վերանայել և հարմարեցնել այդ միջոցները:
Անհրաժեշտ է նաև միջոցներ ձեռնարկել՝ պարզելու, թե քրեական պատասխանատվության բարձրացումը որտեղ կարող է օգնել ավելի արդյունավետ պայքարել մաքսային իրավախախտումների դեմ և բարելավել անվտանգությունը: Նման հետազոտությունների կարևորությունը մեծանում է մաքսային և միջազգային առևտրի համաշխարհային փոփոխությունների համատեքստում: Օրենսդրության թարմացումն ու հարմարեցումը ժամանակակից մարտահրավերներին և սպառնալիքներին դառնում է առանցքային ասպեկտ՝ ազգային և միջազգային մակարդակներում մաքսային իրավախախտումների դեմ արդյունավետ պայքար ապահովելու գործում:</t>
  </si>
  <si>
    <t xml:space="preserve">Ներկայումս ՀՀ ՊԵԿ մաքսային մարմինը համալրված է արդի և ժամանակակից  մաքսային համակարգերով։ Այնուամենայնիվ, ՏՏ միջավայրը զարգանում է աննախադեպ արագությամբ, ինչը պահանջում է շարունակական համապատասխանեցում (ադապտացիա)՝ արդյունավետությունը պահպանելու համար: 
ՏՏ ենթակառուցվածքի կանոնավոր գնահատումները կարևոր են հնարավոր բացերը և բարելավման հնարավորությունները բացահայտելու համար: Հաշվի առնելով, որ նորարար տեխնոլոգիաները դառնում են առաջադեմ մաքսային գործառնությունների անբաժանելի մասը, շատ կարևոր է ունենալ բավարար ՏՏ ենթակառուցվածք՝ ծառայելով հենք նման նորարարությունների ներդրմանը՝ ինտեգրելով  նորարարական լուծումները մաքսային գործառնություններում։ Միջոցառումը հնարավորություն կտա բարելավել մաքսային գործառնությունների արդյունավետությունն ու անվտանգությունը:
</t>
  </si>
  <si>
    <t xml:space="preserve">Անընդհատ փոփոխվող աշխարհում, որտեղ նոր մարտահրավերներ և իրավիճակներ են առաջանում անկանխատեսելի հաճախականությամբ, արագ արձագանքման և հարմարվողականության արդիականությունն առանցքային է դառնում ցանկացած պետական ​​համակարգի, այդ թվում՝ ՊԵԿ արդյունավետ գործունեության համար: Փոփոխություններին արագ հարմարվելու անհրաժեշտությունը՝ լինի դա տնտեսական տատանումներին, կրիտիկական ենթակառուցվածքների խափանմանը, թե արտակարգ իրավիճակներին, պահանջում է, որ ՀՀ ՊԵԿ-ը լինի ճկուն և ի վիճակի լինի ակնթարթորեն արձագանքել, այդ թվում՝ վերաբաշխել ռեսուրսները։ Ստեղծված իրավիճակը պահանջում է հստակ մշակված և իրականացման համար պատրաստ պլաններ, որոնք կարող են ապահովել աշխատանքի շարունակականությունն ու արդյունավետությունը ցանկացած պայմաններում:
Միջոցառման իրականացման ընթացքում առաջարկվում է առաջնորդվել. այդ թվում ՀՄԿ աղետների կառավարման և մատակարարման շղթայի շարունակականության վերաբերյալ ուղեցույցով (https://www.wcoomd.org/-/media/wco/public/global/pdf/topics/facilitation/activities-and-programmes/natural-disaster/guidelines-disaster-management_en.pdf) և ռիսկերի կառավարման ISO 31000 ստանդարտով։ </t>
  </si>
  <si>
    <t>Միջոցառման արդյունքում հնարավոր կլինի իրականացնել օդային տրանսպորտային միջոցով այլ երկրներից դեպի ՀՀ ուղևորվող անձանց վերաբերյալ նախնական տեղեկատվության վերլուծություն: Համակարգերի ներդրումը հնարավորություն կընձեռի տեղեկատվություն ստանալ օդային տրանսպորտային միջոցով տեղափոխվող ուղևորների վերաբերյալ մինչ օդանավի փաստացի ժամանելը։ Համակարգերի միջոցով հնարավոր կլինի նաև տեղեկատվություն ստանալ ժամանող ուղևորի տարանցիկ երթուղու կետերի վերաբերյալ։ Նշված տվյալների համադրությունը թույլ կտա հսկողություն սահմանել արգելված ապրանքների տեղափոխման մեջ կասկածվող անձանց նկատմամբ։ Միջոցառումն իրականացվելու է Հայաստանի Հանրապետությունում Ուղևորների նախնական տեղեկատվության (ՈՒՆՏ/API) համակարգի ներդրման նպատակով ստեղծվող միջգերատեսչական փորձագիտական խմբի շրջանակներում ընդունված որոշումներին համապատասխան:
Միջազգային փորձին համապատասխան. երկրները սկսել են ավիաընկերություններից պահանջել տրամադրել PNR տվյալներ, քանի որ այս տեղեկատվությունը կարևոր է համարվում սպառնալիքի մակարդակը գնահատելու համար, որը կարող է որոշվել նման տվյալների վերլուծությունից, հատկապես ահաբեկչության դեմ պայքարում: Մինչև վերջերս չկային տեխնիկական տվյալների փոխանցման ստանդարտներ, որոնք նման են ուղևորների նախնական տեղեկատվությանը (API): Այնուամենայնիվ, 2012 թվականի սկզբին Համաշխարհային մաքսային կազմակերպությունը (WCO), Օդային տրանսպորտի միջազգային ասոցիացիան (IATA) և ICAO-ն համատեղ հաստատեցին IATA ստանդարտ տվյալների փոխանցման PNRGOV ձևաչափը:</t>
  </si>
  <si>
    <t xml:space="preserve">Առանց ներքին ընթացակարգերի և մաքսային մարմնի աշխատակազմի գործառույթների, աշխատելաոճի կանոնավոր հսկողական մեխանիզմների կիրառման մաքսային հսկողության գործընթացների կիրառման մեջ կարող են լինել անհամապատասխանություններ կամ շեղումներ, որոնք կարող են հանգեցնել կամայականությունների և համապատասխանության խնդիրների: Կանոնավոր աուդիտը երաշխավորում է, որ բոլոր ընթացակարգերը կիրառվում են միատեսակ և ճշգրիտ։ Այն հնարավորություն է տալիս բացահայտել բարելավման ոլորտները և օգնում է պահպանել մաքսային հսկողության գործընթացների բարձր ստանդարտներ՝ այդ թվում միջազգային լավագույն փորձին և ստանդարտներին համապատասխան։ </t>
  </si>
  <si>
    <t>Մաքսային ոլորտում իրականացվող շարունակական բարեփոխումների իրականացման արդյունքները միշտ չէ, որ արտացոլվում են միջազգային հարթակներում, իսկ արդյունքների և համապատասխան վիճակագրական տվյալների  կանոնավոր թարմացումը և ճշգրիտ պատկերումը կարող է էապես ազդել երկրի միջազգային իմիջի և վարկանիշի վրա:
Ի լրումն արդեն իսկ գործող միջազգային վարկանիշային ցուցակներում տվյալները արդիականացնելու ուղղությամբ աշխատանքների, առաջարկվում է նաև իրականացնել աշխատանք ՀՄԿ կատարողականի չափման մեխանիզմին (WCO Performance Measurement Mechanism https://www.wcoomd.org/en/topics/capacity-building/instrument-and-tools/pmm.aspx) համապատասխան միջոցառումների իրականացում։</t>
  </si>
  <si>
    <t>Ապրանքների և/կամ տրանսպորտային միջոցների ավտոմատ բացթողման համակարգի կիրառման շրջանակներն ընդլայնելու նպատակով առաջարկվում է նախաձեռնել կիրառվող  չափանիշների վերանայման,  ընդլայնման հնարավորությունը: 
Միջոցառումը համապատասխանում է միջազգային մի շարք փաստաթղերին, այդ թվում ՀՄԿ Compendium on Building a Single Window environment (https://www.wcoomd.org/en/topics/facilitation/instrument-and-tools/tools/single-window-guidelines.aspx)</t>
  </si>
  <si>
    <t xml:space="preserve">
ՀՀ ՊԵԿ մաքսային մարմնի կողմից ներկայումս շահագործվում են բազմաթիվ  էլեկտրոնային կառավարման համակարգեր: Դրանք մշակված են եղել տարբեր ժամանակներում, տարբեր թիմերի կողմից՝ սահմանված տարբեր պահանջների և կարիքների լուծման համար։ Հաճախ նման բազմազանությունը հանգեցնում է որոշակի ոչ միատարր ՏՏ միջավայրի: Հաշվի առնելով տեխնոլոգիական առաջընթացի արագ տեմպերը, կարևոր է գնահատել, թե որքանով են այդ համակարգերը համապատասխանում ՀՀ ՊԵԿ մաքսային մարմնի ռազմավարական նպատակներին և գործառնական կարիքներին: Միջոցառման իրականացումը հնարավորություն կընձեռի վերհանել արդյունավետության, համատեղելիության կամ ֆունկցիոնալության հնարավոր բացերը: Այն կապահովի, որ  համակարգերն ուղղված լինեն ոչ միայն ընթացիկ խնդիրների լուծմանը, այլ նաև լինեն ադապտացվող սահմանվող տեսլականին  և  ապագա տեխնոլոգիաներին՝ մաքսային գործառնությունների ընդլայնվող պահանջներին և կարիքներին համահունչ: Միաժամանակ, միջոցառումը միտված է ապահովելու ԵԱՏՄ իրավունքի մասը կազմող իրավական ակտերում կատարված փոփոխությունների և լրացումների լիարժեք իրավակիրարկում:
Միջոցառումը իրականացնելու ընթացքում անհրաժեշտ է առաջնորդվել, այդ թվում ՀՄԿ Compendium on Building a Single Window environment (https://www.wcoomd.org/en/topics/facilitation/instrument-and-tools/tools/single-window-guidelines.aspx)</t>
  </si>
  <si>
    <t>Ներկայումս ռիսկերի կառավարման համակարգի կողմից  փաստաթղթային հսկողության համար ընտրված հայտարարագրերի մաքսային հսկողություն իրականացնելու համար հայտարարատուն ֆիզիկապես պետք է ներկայանա մաքսային մարմին ներկայացնելով համապատասխան փաստաթղթերը մաքսային հսկողության համար։ Մաքսային միասնական տեղեկատվական համակարգում արդեն իսկ առկա են ապրանքների ուղեկցող և այլ փաստաթղթերի էլեկտրոնային ներկայացման հնարավորություն։ Մաքսային մարմիններում հերթերի գոյացման հավանականությունը նվազեցնելու և հայտարարատուների համար բարենպաստ պայմաններ ստեղծելու նպատակով, առաջարկվում է մաքսային մարմնի էլեկտրոնային համակարգերում իրականացնել արդիականացման աշխատանքներ, որը հնարավորություն կտա նշված դեպքերում նկարագրված գործընթացները իրականացնել հնարավորինս հեռավար: 
Միջոցառումը իրականացնելու ընթացքում անհրաժեշտ է առաջնորդվել, այդ թվում ՀՄԿ Compendium on Building a Single Window environment (https://www.wcoomd.org/en/topics/facilitation/instrument-and-tools/tools/single-window-guidelines.aspx)</t>
  </si>
  <si>
    <t>Արտաքին տնտեսական գործունեությանն առնչվող բոլոր փաստաթղթերի և տվյալների թվայնացումը պետք է ապահովվի թվային տվյալների հիման վրա որոշումներ կայացնելու համար նման տվյալների ավտոմատ վերլուծություն իրականացնելու, ինչպես նաև միջգերատեսչական և միջազգային տվյալների փոխանակման համար այդ տվյալների օգտագործման նպատակով: . Անհրաժեշտ է դիտարկել նաև թվային տվյալների առկայությունը անգլերեն և ռուսերեն լեզուներով, որպեսզի կարողանանք ապահովել տվյալների փոխանակումը օտարերկրյա գործընկերների հետ:
Միջոցառումը իրականացնելու ընթացքում անհրաժեշտ է առաջնորդվել, այդ թվում ՀՄԿ Compendium on Building a Single Window environment (https://www.wcoomd.org/en/topics/facilitation/instrument-and-tools/tools/single-window-guidelines.aspx)</t>
  </si>
  <si>
    <t>Ներկայումս ԱՏԳ իրականացնող տնտեսվարողների կողմից իրականացվող մաքսային որևէ գործողության ընթացքում առաջացած պարտավորությունների հաշվառումն իրականացվում է «ՀՀ արտաքին առևտրի ազգային մեկ պատուհան» հարթակի Վճարումների կենտրոնացված հաշվառում (ՎԿՀ) համակարգի միջոցով։
ՎԿՀ-ում ավտոմատ հաշվառվում են այն պարտավորությունները, որոնք հաշվարկվում են բացառապես վերոնշյալ հարթակի այլ համակարգերի հետ փոխգործակցության արդյունքում, այսինքն արտացոլվում եմ հայտարարագրման արդյունքում ծագող հարկերը, տուրքերը և այլ վճարները։ Միևնույն ժամանակ կան պարտավորություններ, որոնք «ձեռքով» են հաշվարկվում և մուտքագրվում ՎԿՀ.
- այն պարտավորությունները, որոնք տնտեսվարողի համար ներկայումս առաջանում են ոչ «ՀՀ արտաքին առևտրի ազգային մեկ պատուհան» հարթակում ներառված համակարգերից,
- «ՀՀ արտաքին առևտրի ազգային մեկ պատուհան» հարթակի գործառույթների շրջանակում տույժերն ու տուգանքները, եթե սահմանված ժամկետում պարտավորությունները չեն վճարվում,
- տնտեսվարողների մոտ կատարվող ստուգումների հետևանքով առաջացած լրացուցիչ հարկերն ու վճարները։   
Միասնական հաշվի համակարգի ներդրումը կնպաստի ԱՏԳ մասնակիցների և ՊԵԿ աշխատակիցների համար  պարտավորությունների հաշվառման, դրանց մարման գործընթացների ավտոմատացման և պարզեցման,	չմարված պարտավորությունների մասով տույժերի հաշվարկի ավտոմատացման, մաքսային վճարների և մաքսային մարմիններին վճարվող այլ հարկերի և տուրքերի դրանց գծով տույժերի և տուգանքների հաշվառման կենտրոնացված կառավարման։ Միջոցառումը իրականացնելու ընթացքում անհրաժեշտ է առաջնորդվել, այդ թվում ՀՄԿ Compendium on Building a Single Window environment (https://www.wcoomd.org/en/topics/facilitation/instrument-and-tools/tools/single-window-guidelines.aspx)</t>
  </si>
  <si>
    <t>Ներկայումս ՀՀ ՊԵԿ մաքսային մարմինը համագործակցում է մի շարք երկրների հետ՝ ընդունված միջազգային և երկկողմ պայմանագրերի շրջանակներում։ Այնուամենայնիվ, մաքսային մարմնի հսկողական մեխանիզմների ընդլայնման նպատակով ոչ բոլոր պոտենցիալ հետաքրքրություն ներկայացնող երկրներն են ներառված համապատասխան համաձայնագրերով, ինչը բացեր է թողնում ապրանքների տեղաշարժի նկատմամբ վերահսկողության արդյունավետության հարցում: Անհրաժեշտ է բացահայտել այն երկրներին, որոնց հետ համագործակցությունն առավել արդյունավետ կլինի մաքսային հսկողության ուժեղացման և սահմանային անվտանգության ապահովման առումով։ Այս առումով կարևոր է նաև ամրապնդել միջազգային համագործակցությունը ապրանքների և տրանսպորտային միջոցների վերաբերյալ  տեղեկատվության փոխանակման միջոցով: Այս մոտեցումը ճանաչվում է որպես գլոբալ մակարդակով մաքսային հսկողության արդյունավետության և անվտանգության բարելավման առանցքային բաղկացուցիչ: Այնուամենայնիվ, շատ երկրներ դեռ գտնվում են համապատասխան համակարգերի և ընթացակարգերի մշակման և ներդրման փուլում, ինչը պահանջում է հետագա աշխատանք և ջանքեր՝ տեղեկատվության փոխանակման գործընթացների լիարժեք ինտեգրման և օպտիմալացման հասնելու համար։ Ներկայումս նման համաձայնագրերի կնքման հստակ սահմանված գործընթաց կամ մեթոդաբանություն ներդրված չէ, ինչը բարդացնում է այս ոլորտում միջազգային համագործակցության համակարգված ընդլայնումը:
Երկրների միջև վերահսկման և տեղեկատվության փոխանակման մեխանիզմները ժամանակակից մաքսային գործունեության հիմնական տարրերն են: Այն համահունչ է Համաշխարհային մաքսային կազմակերպության՝ WCO Standards Framework for Security and Facilitation of Global Trade (SAFE), որը առաջարկում է տարբեր երկրների մաքսային ծառայությունների միջև համագործակցության և տեղեկատվության փոխանակման մեծացում:
Միջոցառումը նաև համապատասխանում է Առևտրի համաշխարհային կազմակերպության (ԱՀԿ)  առևտրի դյուրացման և մաքսային ընթացակարգերի վերաբերյալ առաջարկություններին և գործելակերպին:</t>
  </si>
  <si>
    <t>Մաքսային մարմինների ներկայիս գործելակերպը կարող է լիովին չհամապատասխանել վերջին միջազգային չափանիշներին, որոնք շարունակաբար զարգանում են և համապատասխանեցվում արդի  մարտահրավերներին: Մաքսային մարմինների գործելաոճի ստանդարտացումն առանցքային նշանակություն ունի ոչ միայն արդյունավետության ապահովման տեսանկյունից, այլև միջազգային համագործակցության և հանրության մոտ վստահության ամրապնդման  համար: Միաժամանակ միջազգային կառույցների  կողմից մաքսային մարմինների գործառույթների ստանդարտացման  հավաստագրումը կարող է հետագայում հաստատել մաքսային մարմնի՝ գերազանցության և գլոբալ լավագույն փորձին հավատարիմ մնալու հանձնառությունը։ Մասնավորապես, անհրաժեշտ է առաջնորդվել ներկայացվող հղումներում ներառված փաստաթղթերով՝ https://www.wto.org/english/docs_e/legal_e/tfa-nov14_e.htm#art1
https://www.wto.org/english/docs_e/legal_e/gatt47_01_e.htm
https://www.wcoomd.org/en/about-us/legal-instruments.aspx
https://www.unescap.org/2030-agenda</t>
  </si>
  <si>
    <t>«Կանաչ մաքսային մարմին» եզրույթը դարձել է տարբեր երկրներում կիրառվող տարածված պրակտիկա, որի շրջանակներում նախաձեռնվող միջոցառումներն իրականացվում են Միավորված ազգերի կազմակերպության Կայուն զարգացման նպատակների համատեքստում: ՀՀ ՊԵԿ մաքսային ծառայության ռազմավարական զարգացման նպատակները պետք է փոխկապակցված լինեն Միավորված ազգերի կազմակերպության 2030 թվականի Կայուն զարգացման օրակարգի իրականացման հետ՝ ամրապնդելով հանձնառությունը գլոբալ բարգավաճմանը, արդարությանը և կայունությանը: Համապատասխանեցնելով ռազմավարական նպատակներն ու առաջնահերթությունները Կայուն զարգացման նպատակներին՝ ՀՀ ՊԵԿ մաքսային ծառայությունը ոչ միայն բարձրացնում է իր գործառնական արդյունավետությունը, այլև նպաստում է ավելի լայն՝ գլոբալ զարգացման օրակարգին: 
Միջոցառումը իրականացնելու ընթացքում անհրաժեշտ է առաջնորդվել ՀՄԿ «Կանաչ մաքսային մարմին» հայեցակարգով (WCO Green Customs https://www.wcoomd.org/en/topics/key-issues/green-customs.aspx) և UN ESCAP 2023 kajwun za8gacman օրակարգով (https://www.unescap.org/2030-agenda)։</t>
  </si>
  <si>
    <t xml:space="preserve">Մաքսային մարմնի Ռիսկերի կառավարման համակարգի շարունակական կատարելագործումը առանցքային նշանակություն ունի մաքսային ծառայության հսկողական մեխանիզմների արդյունավետության ապահովման նպատակով։ Հաշվի առնելով ՏՏ լուծումների հնարավորությունները, զարգացման միտումները և նոր սահմանվող պահանջները նպատակահարմար է սահմանված պարբերականությամբ իրականացնել համակարգի աշխատանքի մշտադիտարկում և բարելավման առաջարկների մշակում, այդ թվում ՀՄԿ մաքսային ռիսկերի կառավարման կումպենդիումին (https://www.wcoomd.org/en/Topics/Facilitation/Instrument%20and%20Tools/Tools/Risk%20Management%20Compendium) և Կյոտոյի կոնվենցիային (docs.cntd.ru/document/1901082) համապատասխան: </t>
  </si>
  <si>
    <t>Միջոցառման շրջանակներում նախատեսվում է կատարելագործել Ռիսկերի կառավարման համակարգը՝ հաշվի առնելով ռիսկի պրոֆիլների մշակման, ներդրման, ինչպես նաև սահմանված հսկողությունների և հսկողությունից հանելու առանձնահատկությունները։ Ուսումնասիրել ընդլայնված շրջանակով աղբյուրներից տեղեկատվության հավաքագրման, համադրման և թիրախավորման արդյունավետ մեխանիզմներ ներդնելու հնարավորությունը, այդ թվում՝ կիրառելով AI/ML տեխնոլոգիաներ ավտոմատացնել  մաքսային ռիսկի պրոֆիլների մշակման/ ձևավորման  մեխանիզմները:</t>
  </si>
  <si>
    <t>Ներկայումս ՀՀ ՊԵԿ մաքսային մարմնի ռիսկերի կառավարման համակարգը փոխգործակցում է մի շարք էլեկտրոնային կառավարման համակարգերի և տեղեկատվական բազաների հետ։ Միաժամանակ, համակարգի շարունակական կատարելագործման և մաքսային հսկողության արդյունավետության բարձրացման նպատակով նպատակահարմար է դիտարկել լրացուցիչ արտաքին համակարգերից և տեղեկատվական աղբյուրներից տվյալների ստացման, մշակման և օգտագործման հնարավորությունը։</t>
  </si>
  <si>
    <t>Ներկայումս գործում են ԱՏԳ մասնակիցների հետ հարաբերությունների կարգավորման խորհուրդներ, սակայն, դրանք  հիմնականում առնչվում են բարեփոխումների առաջարկությունների և առկա խնդիրների քննարկմանը: Այդ շրջանակում չի նախատեսվում նոր մաքսային և վարչական կարգավորումների քննարկումներ իրականացնել առևտրային համայնքի հետ:  Բացի այդ առևտրային համայնքի մասնակցությունը չի կրում մշտական բնույթ: Ավելին խորհուրդների  շրջանակներում իրականցվում են տարեկան 2-3 նիստեր, որոնց շրջանակներում առևտրի դյուրացմանն ուղղված համապարփակ և ԱՏԳ իրականացնողների կարիքները բավարարող միջոցառումների արդյունավետ իրականացումը դարձնում է ոչ բավարար արդյունավետ:
Միջոցառման իրականացնման նթացքում անհրաժեշտ է առաջնորդվել, այդ թվում Առևտրի խթանման ազգային կոմիտե - ՀՄԿ ուղեցույցով (https://www.wcoomd.org/en/topics/facilitation/instrument-and-tools/tools/national-committee-on-trade-facilitation.aspx) և ԱՀԿ Առևտրի դյուրացման մասին համաձայնագրով
(https://www.wto.org/english/docs_e/legal_e/tfa-nov14_e.htm#art1 23.2)</t>
  </si>
  <si>
    <t>ԵՏՀ կոլեգիայի 2015 թվականի օգոստոսի 14-ի N 29 որոշմամբ հաստատվել է ԵԱՏՄ շրջանակներում ընդհանուր գործընթացների ցանկ, որոնցից 20-ից ավելին ուղղակիորեն վերաբերում են մաքսային գործառնություններին, իսկ մի շարք այլ գործընթացներում մաքսային մարմինները հանդիսանում են գործընթացի մասնակից կամ տեղեկատվության ստացողներ: 
ԵՏՀ կողմից իրականացվում են ընդհանուր գործընթացները կանոնակարգող տեխնիկական փաստաթղթերի մշակում և համաձայնեցում անդամ-պետությունների հետ, որոնց համապատասխան իրականացվում են տեղեկատվական համակարգերի մշակում, ներդրում և շահագործում: Նախատեսվում է իրականացնել ԵԱՏՄ շրջանակներում սահմանված ժամկետներին համապատասխան տեղեկատվական համակարգերի նախագծում և ներդրում՝ անդամ-պետությունների մաքսային մարմինների հետ ընդհանուր գործընթացների իրականացումն ապահովելու նպատակով: Ընդհանուր գործընթացների իրականացումը ենթադրում է տեղեկատվության հավաքագրման ազգային բազայի ձևավորում և վարում, հավաքագրված տեղեկատվության տրամադրում ԵԱՏՄ այլ անդամ-պետությունների իրավասու մարմիններին, ինչպես նաև այլ անդամ-պետությունների իրավասու մարմիններից տեղեկատվության ստացում և տեղայնացում և այլ ընթացակարգեր: Ներկայումս իրականացվում է 2 ընդհանուր գործընթացի մասով տեղեկատվության փոխանակում:</t>
  </si>
  <si>
    <t>Ներկայումս "Մաքսային կարգավորման մասին" ՀՀ օրենքի համաձայն նախատեսված է մաքսային գործի բնագավառում գործունեություն իրականացնող անձանց  կողմից հաշվետվությունների ներկայացում մաքսային մարմիններին, սակայն դրանք ներկայացվում են թղթային եղանակով: Առաջարկվում է լիարժեք կարգավորել հաշվետվությունների ներկայացման համար  ՀՀ արտաքին առևտրի ազգային մեկ պատուհան հարթակում ստեղծել հաշվետվությունների առցանց ձևավորման և ներկայացման հնարավորություն:
Միջոցառումը իրականացնելու ընթացքում անհրաժեշտ է առաջնորդվել, այդ թվում ՀՄԿ Compendium on Building a Single Window environment (https://www.wcoomd.org/en/topics/facilitation/instrument-and-tools/tools/single-window-guidelines.aspx) և ՀՄԿ տվյալների մոդելով (https://www.wcoomd.org/DataModel):</t>
  </si>
  <si>
    <t>Նախատեսվում է ԵԱՏՄ օրենսդրությանը համապատասխան` ներդնել մաքսային փորձագետի ինստիտուտ՝ ներգրավելով մաքսային փորձագետի գործունեություն իրականացնող համապատասխան աշխատակիցներ, ովքեր սկզբնական փուլում կիրականացնեն որոշակի ապրանքների փորձաքննություններ և հետազոտություններ, իսկ հետագայում, ներգրավելով համապատասխան շահագրգիռ գերատեսչությունների մասնագետների, կիրականացվեն առավել մեծ խումբ ապրանքների մանրամասն փորձաքննություններ։ Արդյունքում կարագացվի և կպարզեցվի փորձաքննությունների գործընթացը, այն դեպքերում, երբ ապրանքները լիցենզավորման ենթակա չեն լինի, դրանց մասով ՊԵԿ-ն այլևս չի ուղղորդի դեպի լիազոր մարմիններ:
Սկզբնական շրջանում փորձագետների կողմից կիրականացվեն վիճահարույց ապրանքատեսակների փորձաքննություններ, ապրանքների ըստ նպատակային նշանակության պիտանի լինելու վերաբերյալ փորձաքննություններ, օգտագործված ապրանքների արժեքների փորձաքննություններ և եզրակացությունների տրամադրում: Հետագայում, զարգացնելով մաքսային փորձագետի ինստիտուտը ՊԵԿ կազմում, կընդլայնվեն իրականացվող փորձաքննությունների տեսակները՝ ստեղծելով առանձին մասնագիտացված ստորաբաժանում: Արդյունքում՝ մաքսային լաբորատորիայի ներդրման դեպքում, ՊԵԿ-ն արդեն իսկ որոշ չափով մասնագիտական պատրաստվածություն կունենա։ Միաժամանակ, իրականացվելիք փորձաքննությունների տեսակների և անձնակազմի ավելացման հետ մեկտեղ կնվազեն նաև ՊԵԿ ծախսերը, քանի որ շատ դեպքերում վճարովի հիմունքներով ՊԵԿ-ը դիմում է տարբեր փորձագիտական կենտրոնների, իսկ հետագայում այդ ծախսերի իրականացման անհրաժեշտություն շատ դեպքերում չի լինի։ 
Որպես միջազգային փորձ. միջոցառման իրականացման շրջանակներում առաջարկվում է առաջնորդվել, այդ թվում ԵՄ մաքսային լաբորատորիաների ստեղծման և աշխատանքի կազմակերպման դրույթներով (https://taxation-customs.ec.europa.eu/customs-4/customs-laboratories_en):</t>
  </si>
  <si>
    <t xml:space="preserve">Մաքսային հսկողության իրականացման գործող միջոցները կարող են պարբերաբար գնահատման և արդիականացման կարիք ունենալ՝ համապատասխան զարգացող մարտահրավերներին և տեխնոլոգիական առաջընթացին: Առանց կարիքների կանոնավոր գնահատման՝ մաքսային ընթացակարգերի արդիականության  և  արդյունավետության նվազման ռիսկեր են ի հայտ գալիս: Այս կարիքների շարունակական բացահայտումն ու լուծումը երաշխավորում է, որ մաքսային հսկողության միջոցները լինեն հստակ, արդյունավետ և համապատասխան միջազգային չափանիշներին, մասնավորապես ԵԱՏՄ օրենսդրությանը և OSCE - UNECE Լավագույն փորձը սահմանային անցակետերում - Առևտրի և տրանսպորտի խթանման ձեռնարկին (https://www.osce.org/files/f/documents/0/e/99872.pdf):
</t>
  </si>
  <si>
    <t xml:space="preserve">Միջոցառման շրջանակներում նախատեսվում է ուսումնասիրել ԱՄՆ, եվրոպական և ԱՊՀ անդամ-երկրների նմանատիպ ծառայությունների, ինչպես նաև ՀՄԿ շների ուսուցման տարածքային կենտրոնների պայմանները և փորձը, իրականացնել վերլուծություններ և լավագույնը ներդնել ՊԵԿ կինոլոգիական կենտրոնում: Իրականացման արդյունքում կստեղծվի միջազգային ստանդարտներին համապատասխան կենտրոն, որտեղ կպատրաստվեն և կվերապատրաստվեն ՊԵԿ և այլ շահագրգիռ մարմինների և կազմակերպությունների ծառայողական շները և կինոլոգները, քանի որ Հայաստանում առայժմ չկա նմանատիպ հաստատություն: </t>
  </si>
  <si>
    <t xml:space="preserve">Ներկայումս մաքսային մարմինների և արտաքին տնտեսական գործունեության մասնակից շահագրգիռ կողմերի միջև կանոնավոր, կառուցվածքային հաղորդակցության կարիք է նկատվում: Նման բացը կարող է հանգեցնել  հանրային վստահության ցածր մակարդակի և իրական կարիքների անտեսման: Պարբերական հանդիպումներ և քննարկումներ նախաձեռնելով՝ մաքսային մարմինը կարող է անմիջականորեն համագործակցել շահագրգիռ կողմերի հետ, հասկանալ նրանց մտահոգություններն ու առաջարկությունները և հնարավորության դեպքում նախաձեռնել անհրաժեշտ բարելավումներ՝ ԱՏԳ մասնակցին դիտարկելով որպես գործընկեր և ստեղծելով առավել նպաստավոր և օգտագործողի համար հարմար միջավայր:
</t>
  </si>
  <si>
    <t>Հանրության հետ հետադարձ կապի ապահովման հստակ, միշտ հասանելի հարթակների առկայությունը կամրապնդի հաղորդակցության արդյունավետությունը, կձևավորի վստահություն և կխթանի հասարակության հետ ավելի պատասխանատու և թափանցիկ հարաբերությունների ձևավորումը:</t>
  </si>
  <si>
    <t xml:space="preserve"> Էթիկայի կանոնների սահմանման և մոնիթորինգի հստակ փաթեթի մշակումը և կիրարկումը կարող է նպաստել  պրոֆեսիոնալիզմի և ազնվության բարձր չափանիշների պահպանմանը՝ դրանով իսկ բարձրացնելով մաքսային մարմնի հեղինակությունն ու արդյունավետությունը:</t>
  </si>
  <si>
    <t>Մաքսային մարմինների կողմից իրականացվող մաքսային գործառնությունների համար կիրառվող պետական տուրքի դրույքաչափերը հիմնականում չեն ինդեքսավորվել՝ հաշվի առնելով գնաճի գործոնը։ Հետևաբար, տնտեսական իրավիճակին համընթաց անհրաժեշտ է ուսումնասիրել պետական տուրքի դրույքաչափերի փոփոխման նպատակահարմարությունը և նախաձեռնել համապատասխան փոփոխություններ:</t>
  </si>
  <si>
    <t>ԵԱՏՄ անդամ պետությունների միջև մաքսատուրքերի բաշխման վերջին փոփոխությունը իրականացվել է 2019 թվականի հոկտեմբերի 1-ի «Եվրասիական տնտեսական միության մասին պայմանագրի փոփոխությունների մասին մայիսի 29-ի, ինչպես նաև փոփոխության և դադարեցման մասին անհատական ​​միջազգային պայմանագրեր» արձանագրությամբ։ Մաքսատուրքերի բաշխման Հայաստանի Հանրապետության մասնաբաժինը չի փոփոխվել Հայաստանի անդամակցության պահից սկսված։ Առկա է անդամ երկրների ներկա տնտեսական ցուցանիշներին համապատասխան մաքսատուրքերի վերանայման անհրաժեշտություն:</t>
  </si>
  <si>
    <t>Հաշվի առնելով կայուն զարգացման համաշխարհային նպատակները և շրջակա միջավայրի հավասարակշռությունը պահպանելու անհրաժեշտությունը՝ ներկայիս բնապահպանական հարկի համակարգը պահանջում է պարբերական վերլուծություն և հնարավոր ճշգրտումներ: Սա կարևոր է ապահովելու համար, որ բնապահպանական հարկը արձագանքի ինչպես ժամանակակից բնապահպանական մարտահրավերներին, այնպես էլ տնտեսական իրողություններին: Առանձնահատուկ ուշադրություն պետք է դարձնել, թե ինչպես են ներկայիս բնապահպանական հարկերի դրույքաչափերն ազդում ձեռնարկությունների և անհատների բնապահպանական պատասխանատվության վրա և ինչպես են դրանք նպաստում կայուն զարգացման պրակտիկաների ձեռքբերմանը: Այս տեմպերի վերանայումը կարող է կարևոր քայլ լինել շրջակա միջավայրի կայունության ամրապնդման և գլոբալ բնապահպանական նպատակներին հասնելու համար:</t>
  </si>
  <si>
    <t>Կայուն զարգացման նպատակների համատեքստում տեղական արտադրանքի մաքսային ձևակերպումների ներկայիս համակարգը պահանջում է վերանայում և օպտիմալացում: Տեղական արտադրողների համար մաքսային ընթացակարգերի պարզեցումն ու արագացումը կարող է զգալիորեն նպաստել տնտեսական աճին և կայուն զարգացմանը՝ աջակցելով տեղական արտադրությանը և նվազեցնելով բիզնես գործունեության բնապահպանական ազդեցությունը: Նման փոփոխությունները կարող են ոչ միայն բարելավել արդյունավետությունը և նվազեցնել բյուրոկրատիան, այլ նաև խթանել նորարարությունն ու կայուն գործելակերպը ներքին արդյունաբերության և առևտրի ոլորտում: Հիմնական խնդիրն է հավասարակշռություն գտնել մաքսային հսկողության անհրաժեշտության և տեղական արտադրողների համար պայմանների պարզեցման միջև՝ որպես կայուն տնտեսական զարգացման մաս։</t>
  </si>
  <si>
    <t>Ներկայումս, թեև ԵԱՏՄ օրենսդրությամբ նախատեսված են ընթացակարգեր, ինչպիսիք են մասնավորապես պարբերական և ոչ ամբողջական հայտարարագրումը, սակայն գործնականում այդ մեթոդները դեռևս ամբողջությամբ չեն կիրառվում։ Նպատակահարմար է գնահատել դրանց պոտենցիալ պահանջարկը և արդյունավետությունը՝ հաշվի առնելով արտաքին առևտրային գործունեության ներկա պահանջներն ու պայմանները։ Դրան զուգահեռ, պահանջվում է միջազգային պրակտիկայում կիրառվող հայտարարագրի նոր ձևերի հետազոտություն և վերլուծություն՝ պարզելու դրանց համապատասխանությունը գործող ընթացակարգերին և ժամանակակից մոտեցումներին։ Այս ուղղությամբ աշխատանքները  կնպաստեն մաքսային ընթացակարգերի ադապտացմանն ու արդիականացմանը ժամանակակից միջազգային չափանիշներին և գործելակերպին համապատասխան: Միջոցառման իրականացման ընթացքում առաջարկվում է առաջնորդվել, այդ թվում ՀՄԿ ԼՏՕ կոմպենդիումով (https://www.wcoomd.org/en/topics/facilitation/instrument-and-tools/tools/aeo-compendium.aspx)։</t>
  </si>
  <si>
    <t>Այլ երկրների համապատասխան կառույցների հետ փոխըմբռնման հուշագրերի և համաձայնագրերի կնքումը մաքսային մարմիններին հնարավորություն է տալիս ընդլայնել համագործակցությունը, պարզեցնել մաքսային ընթացակարգերը և ստեղծել ավելի արդյունավետ առևտրային միջավայր: Այս համաձայնագրերը կարող են նաև օգնել լավագույն փորձի կիրարկմանը և միջազգային չափանիշներին համապատասխանությանը:
Միջոցառման իրականացման ընթացքում առաջարկվում է առաջնորդվել, այդ թվում ՀՄԿ ԼՏՕ կոմպենդիումով (https://www.wcoomd.org/en/topics/facilitation/instrument-and-tools/tools/aeo-compendium.aspx)։</t>
  </si>
  <si>
    <t xml:space="preserve">Ներկայումս մաքսային գործառնությունների բարելավման նպատակով նախաձեռնվում և իրականացվում են մի շարք միջոցառումներ, ներդրվում են էլեկտրոնային կառավարման համակարգեր։ Միաժամանակ համապատասխան մոնիթորինգային համակարգի և արդյունավետության գնահատման մեխանիզմների բացակայությունը կարող է հանգեցնել իրականացվող բարեփոխումների արդյունքների ոչ ճիշտ գնահատման, իրական խնդիրների անտեսման և տնտեսվարողների կարիքների ոչ ցանկալի մակարդակի բավարարման։
Համակարգի միջոցով նախատեսվում է ապահովել  մաքսային գործառնությունների բոլոր փուլերի մշտադիտարկում՝ հայտարարագրումից մինչև ապրանքների բացթողում: Այն պետք է նախատեսի տվյալների հավաքագրման և վերլուծության հնարավորություններ՝ հնարավորություն տալով վերհանել մաքսային գործընթացներում առկա խոչընդոտները կամ անարդյունավետությունները: Այդ վերլուծության արդյունքները պետք է օգտագործվեն համապատասխան արձագանքման միջոցառումներ նախատեսելու և առաջացող խնդիրների լուծման համար: Անհրաժեշտության դեպքում, համակարգն ինտեգրվելու է մաքսային մարմնի այլ համակարգերի հետ:
Միջոցառման իրականացման ընթացքում անհրաժեշտ է առաջնորդվել, այդ թվում ՀՄԿ "GUIDE TO MEASURE THE TIME REQUIRED FOR THE RELEASE OF GOODS" ուղեցույցով - https://www.wcoomd.org/en/topics/facilitation/instrument-and-tools/tools/time-release-study.aspx ։
</t>
  </si>
  <si>
    <t xml:space="preserve">Չնայած նախնական հայտարարագրման համակարգը ներդրված և գործում է, դրա օգտագործումը ԱՏԳ մասնակիցների շրջանում բավականին սահմանափակ է։ Համակարգի աշխատանքի և օգտվողների շրջանակներն ընդլայնելու նպատակով առաջարկվում է նախաձեռնել համակարգի կատարելագործման, կիրառման շրջանակների չափանիշների ընդլայնման, ինչպես նաև  առավելությունների մասին իրազեկել   համակարգի պոտենցիալ օգտվողներին՝ ԱՏԳ մասնակիցներին:
</t>
  </si>
  <si>
    <t xml:space="preserve"> Համակարգի մշակման շրջանակներում ՀՄԿ հետբացթողումային աուդիտի ներդրման ուղեցույցի (Implementation guiddance on Post Clearance Audit/PCA) հիման վրա իրականացվել է ԱՏԳ իրականացնող անձանց սեգմենտավորում՝ վերջիններիս տարանջատելով ըստ ռիսկի մակարդակների՝ ցածր, միջին և բարձր: Ուստի, ԱՏԳ իրականացնող անձանց նկատմամբ արդյունավետ հսկողական աշխատանքներ իրականացնելու նպատակով անհրաժեշտ է կիրառել  միջազգային առաջավոր փորձի հիման վրա մշակված և հաստատված՝ Ապրանք տեղափոխող անձանց ռիսկերի չափանիշները և դրա հիման վրա ստեղծվելիք համապատասխան ծրագրային ապահովման միջոցը:
«Ապրանք տեղափոխող անձանց ռիսկերի չափանիշներ» գործիքի օգնությամբ կթիրախավորվեն նաև առավել բարձր ռիսկային և հաճախակի իրավախախտումներ թույլ տվող ԱՏԳ իրականացնող անձինք՝ արտագնա և կամերալ մաքսային ստուգումների միջոցով ուղղորդելով վերջիններիս դեպի կարգապահություն՝ աստիճանաբար իջեցնելով վերջիններիս ռիսկայնության մակարդակը: Ապրանքների և տրանսպորտային միջոցների  բացթողումից հետո թիրախային ստուգումների համակարգը մշակված է, նախատեսվում է ապահովել համակարգի ներդրում և գործարկում։</t>
  </si>
  <si>
    <t>Սահմանահատման ընթացակարգերի արդյունավետության և մատուցվող ծառայությունների բարձր որակի ապահովման նպատակով անհրաժեշտ է պարբերաբար իրականացնել ներդրված բիզնես գործընթացների ուսումնասիրություն, խնդիրների և բացերի վերհանում, որոնց հիման վրա կմշակվեն գործընթացների վերակառուցման առաջարկներ՝ ապահովելով ժամանակակից և արդյունավետ ընթացակարգեր: Միջոցառման իրականացման ընթացքում անհրաժեշտ է առաջնորդվել, այդ թվում՝ ՀՄԿ Համակարգված սահմանների կառավարման ամփոփագրով և հայեցակարգով - https://www.wcoomd.org/en/topics/facilitation/activities-and-programmes/coordinated-border-management.aspx ։</t>
  </si>
  <si>
    <t>Հարևան երկրների հետ համագործակցության ընդլայնման շրջանակներում շարունակաբար նախաձեռնվում և իրականացվում են մի շարք միջոցառումներ։ Միաժամանակ, նպատակահարմար է պարբերաբար իրականացնել համագործակցության ուղիների ընդլայնման հնարավորությունների ուսումնասիրություն Իրանի և Վրաստանի հետ՝ պարզեցնելու ԱՏԳ ընթացակարգերը, դյուրացնելու սահմանահատման գործառնությունները։</t>
  </si>
  <si>
    <t>«Տրանսպորտային միջոցների հայտարարագրերի հաշվառման, շրջանառության, հսկողության» համակարգը մշակված է, նախատեսվում է ապահովել համակարգի կիրարկում և մշտադիտարկում։ Ներկայումս ՀՀ տարածք մուտք գործող, այդ թվում` ՀՀ տարածքով տարանցիկ ուղևորվող դատարկ տրանսպորտային միջոցների շարժը ՀՀ մաքսային մարմինների տեղեկատվական համակարգերում չի գրանցվում և գործնականում շատ դժվար է այդ տրանսպորտային միջոցների շարժի վերաբերյալ համապատասխան վերլուծական և հսկողական աշխատանքներ իրականացնելը:
«ՀՀ արտաքին առևտրի ազգային մեկ պատուհան» հարթակում «տրանսպորտային միջոցների մաքսային հայտարարագիր» համակարգի ներդրման արդյունքում առավել արդյունավետ կդառնա ՀՀ տարածք մուտք գործող դատարկ տրանսպորտային միջոցների նկատմամբ մաքսային հսկողության իրականացումը, այդ թվում` դատարկ տրանսպորտային միջոցների կառուցվածքում մաքսային հսկողությունից թաքցված ապրանքների հայտնաբերումը։</t>
  </si>
  <si>
    <t>«Մինչև մաքսային հայտարարագրի ներկայացումը դիմումի հիման վրա ապրանքների բացթողնման» էլեկտրոնային համակարգ մշակված է։ Միջոցառման շրջանակներում նախատեսվում է ապահովել համակարգի գործարկում, աշխատանքի արդյունքների մշտադիտարկում, անհրաժեշտության դեպքում կատարելագործման առաջարկների ներկայացում։</t>
  </si>
  <si>
    <t>Միջոցառումն իրականացվելու է ԵԱՏՄ թվային օրակարգի շրջանակներում։ Այն հնարավորություն կընձեռի ԵԱՏՄ շրջանակներում փոխադարձ առևտրի իրականացման ժամանակ տնտեսավարողի կողմից դուրս գրել էլեկտրոնային ուղեկցող փաստաթուղթ, այն ներկայացնել հարկային մարմին և միաժամանակ ներկայացնել ԵԱՏՄ այլ անդամ-պետության տնտեսավարողին, որը հանդիսանում է տվյալ գործարքի շրջանակում գործընկեր: Գործընկերոջ կողմից փաստաթղթերը հաստատելուց հետո ներկայացված տեղեկատվությունը հասանելի պետք է դառնա հարկային, մաքսային և ներգրավված այլ գերատեսչություններին՝ իրենց իրավասությունների շրջանակներում համապատասխան ընթացակարգերն ապահովելու նպատակով: ԵԱՏՄ շրջանակներում փաստաթղթերի փոխադարձ ճանաչումն ապահովող համակարգի ներդրման արդյունքում նախատեսվում է ապահովել ԵԱՏՄ շրջանակներում առևտրի իրականացման ժամանակ տնտեսավարողներից պահանջվող փաստաթղթերի և տեղեկատվության էական կրճատում և ընթացակարգերի օպտիմալացում: 
Միջոցառման շրջանակում նախատեսվում է նաև ապահովել տնտեսավարողների միջև փոխգործակցությունը՝ առևտրային փաստաթղթերի փոխանակման և տեղեկատվության տրամադրման հարթակ ձևավորելու միջոցով։</t>
  </si>
  <si>
    <t>ՀՀ մաքսային ենթակառուցվածքը ներկայումս բաղկացած է սահմանային մաքսային մարմիններից, մաքսատներից, ժամանակավոր պահպանման պահեստներից, մաքսային պահեստներից, դրանցում առկա տեխնիկական միջոցներից, սարքերից, սարքավորումներից, ինչպես նաև մաքսային մարմինների կողմից շահագործվող տեղեկատվական համակարգերից։ Այն ապրանքների մաքսային հսկողությունը, որոնց մաքսային ձևակերպումները կատարվում և որոնք բաց են թողնվում ոչ անմիջականորեն մաքսային սահմանին, այլ երկրի խորքում տեղակայված մաքսատներում, իրականացվում է տվյալ մաքսատան գործունեության գոտում տեղակայված ժամանակավոր պահպանման պահեստներում կամ մաքսային պահեստներում, որոնք հանդիսանում են մասնավոր կառույցներ, գործում են ոչ բոլոր տարածաշրջաններում և միշտ չէ, որ ապահովում են մաքսային հսկողության կամ ապրանքների պահպանության համար բավարար պայմաններ։ Շատ հաճախ մաքսային մարմինները ստիպված են լինում ներմուծվող ապրանքների ժամանակավոր պահպանությունը կազմակերպել ներմուծողի պահեստում, քանի որ տվյալ տարածաշրջանը սպասարկող ժամանակավոր պահեստներ կամ չկան, կամ դրանցում ազատ տեղ չկա, կամ դրանք չունեն պահպանության բավարար պայմաններ։ Այս առումով, արտաքին տնտեսական գործունեության սպասարկման կենտրոնների ստեղծմամբ հնարավորություն է ստեղծվում երկրի ամբողջ տարածքում ունենալ բավարար մաքսային  ենթակառուցվածք՝ թե շենքային ու տարածքային պայմանների, թե տեխնիկական հագեցվածության և թե ԱՏԳ մասնակիցներին մատուցվող ծառայությունների համար անհրաժեշտ տեղեկատվական համակարգերի հասանելիության և շահագործման հարմարավետության տեսակետից։ Անհրաժեշտ է ձևավորել այնպիսի մաքսային ենթակառուցվածք, որը հնարավորություն կտա ԱՏԳ մասնակիցներին ընդունել իրենց համա։ր հնարավորինս ձեռնտու լոգիստիկ լուծումներ, իսկ մաքսային մարմիններին՝ իրականացնել հնարավորինս արդյունավետ մաքսային հսկողություն։ 
ԱՏԳ կենտրոններում ապրանքների ներմուծման և արտահանման դեպքերում մաքսային ձևակերպումների հետ կապված ամբողջական գործընթացները իրականացվում են մեկ վայրում՝ հայտարարագրումից մինչև ապրանքների բացթողումը։ Այստեղ հիմնական գործընթացները հիմնված են էլեկտրոնային համակարգերի և ծրագրային լուծումների կիրառման վրա։ Այս կենտրոններում պետք է տեղակայված լինեն բոլոր այն պետական մարմինները և մասնավոր կազմակերպությունները, որոնք տրամադրում են ապրանքների ներմուծման և արտահանման համար անհրաժեշտ թույլատվական փաստաթղթեր, և դրանց տրամադրման համար ԱՏԳ կենտրոններում պարտադիր կլինի նրանց ներկայությունը։ Այս առումով նախատեսվում է իրականացնել փոփոխություններ ինչպես ներգերատեսչական, այնպես էլ միջգերատեսչական հարթությունում՝  տարբեր ստորաբաժանումների և գերատեսչությունների միջև բիզնես գործընթացները հնարավորինս ներդաշնակ և փոխլրացնող դարձնելու ուղղությամբ</t>
  </si>
  <si>
    <t>«Թույլատվական փաստաթղթեր» համակարգը (Համակարգ) հասանելի է «ՀՀ արտաքին առևտրի ազգային մեկ պատուհան» (trade.gov.am) հարթակում, որը գտնվում է թեստավորման փուլում։ Ներկայումս ՀՀ-ում թույլատվական փաստաթղթեր տրամադրող ոչ բոլոր գերատեսչություններ են միացված նշված համակարգին (տեխնիկապես)։ Այս հարթակին, բացի մաքսային մարմիններից, միացած են լինելու գրեթե բոլոր պետական մարմինները, ինչպես նաև մասնավոր դաշտում աշխատող փորձագիտական կազմակերպությունները, որոնք իրականացնում են արտաքին տնտեսական գործունեության հետ կապված փաստաթղթավորման գործառույթներ։ Այս հարթակի միջոցով հնարավորություն է ստեղծվում մեկ էլեկտրոնային հայտի միջոցով իրականացնել ապրանքների մաքսային ձևակերպումների, դրա համար անհրաժեշտ թույլատվական փաստաթղթերի ստացման գրեթե ամբողջական գործընթացը «Մեկ պատուհանի» սկզբունքով։ Համակարգի գործարկումը նպաստելու է ՀՀ սահմանով տեղափոխվող ապրանքների արգելքների և սահմանափակումների (այդ թվում՝ ոչ սակագնային կարգավորման միջոցների) պահպանմանն ուղղված միջոցառումների պարզեցմանը և դրա համար ծախսվող ժամանակահատվածի կտրուկ կրճատմանը:
Միջոցառումը իրականացնելու ընթացքում անհրաժեշտ է առաջնորդվել, այդ թվում ՀՄԿ Compendium on Building a Single Window environment (https://www.wcoomd.org/en/topics/facilitation/instrument-and-tools/tools/single-window-guidelines.aspx)։</t>
  </si>
  <si>
    <t>Լիազորված տնտեսական օպերատորի ինստիտուտը տնտեսավարող սուբյեկտներին տալիս է 2 կարևոր առավելություն՝ ժամանակի և ֆինանսական միջոցների խնայողություն։ Մասնավորապես, լիազորված տնտեսական օպերատորի կարգավիճակը հնարավորություն է ընձեռնում աշխատել պարզեցված մաքսային ընթացակարգերով, վճարումների կատարման առումով ստանալ բարենպաստ պայմաններ, մաքսային հսկողության ենթարկվել նախընտրած վայրում։ Միաժամանակ, լիազորված տնտեսական օպերատորի ապրանքների բացթողումը կարող է իրականացվել նաև նախքան մաքսային վճարների կատարումը։ 
Լիազորված տնտեսական օպերատորի կարգավիճակ ստանալու համար տնտեսավարող սուբյեկտները պետք է համապատասխանեն օրենսդրությամբ սահմանված որոշակի չափանիշների։ ՀՀ-ում ներկայումս լիազորված տնտեսական օպերատորների ռեեստրում գրանցված տնտեսավարող սուբյեկտ առկա չէ, ուստի անհրաժեշտ է կարգավորել այդ ինստիտուտի լիարժեք գործարկման մասով առկա խնդիրները, ինչպես նաև իրականացնել ինստիտուտի վերաբերյալ իրազեկումների միջոցառումներ։
Բացի դրանից, աճող գլոբալացման և միջազգային առևտրի ընդլայնման համատեքստում առանձնահատուկ արդիական է լիազորված տնտեսական օպերատորների կարգավիճակի փոխադարձ ճանաչման հարցը։ Այս ոլորտը պահանջում է հետագա զարգացում և հզորացում՝ հաշվի առնելով դրա կարևորությունը առևտրի գործընթացների դյուրացման և մաքսային կարգավորման արդյունավետության բարձրացման համար։ Կարգավիճակների փոխադարձ ճանաչումը առանցքային տարր է անվտանգ և արդյունավետ առևտրային միջավայր ստեղծելու համար՝ միաժամանակ ապահովելով արագացված ընթացակարգեր և անվտանգության անհրաժեշտ չափանիշներին համապատասխանություն: Ներկայումս այս համակարգը պահանջում է հետագա ինտեգրում և ներդաշնակեցում միջազգային մակարդակում, այդ թվում՝ ՀՄԿ Փոխադարձ ճանաչման համաձայնագրերի/պայմանագրերի ռազմավարական ուղեցույցին համապատասխան՝ առավելագույն արդյունավետության հասնելու համար։
Միջոցառումը իրականացնելու ընթացքում անհրաժեշտ է առաջնորդվել, այդ թվում ՀՄԿ ԼՏՕ ամփոփաթերթի դրույթներով (https://www.wcoomd.org/en/topics/facilitation/instrument-and-tools/tools/aeo-compendium.aspx)։</t>
  </si>
  <si>
    <t>Հանրային իրազեկման արշավի կազմակերպում. տարբեր հարթակների միջոցով լուսաբանել մաքսային ծառայության դերն ու նշանակությունը երկրի անվտանգության հարցում, բաց և թափանցիկ ձեռնարկատիրական (առևտրային) արտաքին տնտեսական գործունեության, ինչպես նաև օրինապահ ԱՏԳ մասնակիցների համար գործող  առավելությունների մասին</t>
  </si>
  <si>
    <t>բ․  տեղեկատվական  հոդվածների, տեսանյութերի, ինֆոգրաֆիկայի մշակում</t>
  </si>
  <si>
    <t>գ․ հնարավորության դեպքում մեդիա գործակալությունների, PR ընկերությունների կամ մարքեթինգի մասնագետների հետ համագործակցություն՝ քարոզարշավի հասանելիությունն ու ազդեցությունը բարձրացնելու նպատակով</t>
  </si>
  <si>
    <t>Հանրային իրազեկումների իրականացումը հնարավորություն կընձեռի հանրության լայն շերտերին տեղեկացնել մաքսային ընթացակարգերի, իրականացվող բարելավումների, մատուցվող ծառայությունների մասին՝ խթանելով մաքսային մարմնի և հանրության միջև համագործակցային հարաբերությունները</t>
  </si>
  <si>
    <t>դ․ շահագրգիռ երկրների հետ ապրանքների և տրանսպորտային միջոցների վերաբերյալ տեղեկատվության փոխանակման համաձայնագրեր կնքելու բանակցությունների վարում</t>
  </si>
  <si>
    <t>ե․ շահագրգիռ երկրների հետ  համաձայնագրերի կնքում</t>
  </si>
  <si>
    <t>զ․ տեղեկատվության փոխանակման տեխնիկական նկարագրերի մշակում և համաձայնեցում գործընկեր երկրների հետ (ըստ անհրաժեշտության)</t>
  </si>
  <si>
    <t>է. ՊԵԿ էլեկտրոնային կառավարման համակարգի զարգացման և կատարելագործման խորհրդի կողմից տեխնիկական նկարագրերի հաստատում (ըստ անհրաժեշտության)</t>
  </si>
  <si>
    <t>թ․ տեխնիկական առաջադրանքի կազմում և հաստատում (ըստ անհրաժեշտության)</t>
  </si>
  <si>
    <t>ժ. համակարգի մշակում, ծրագրավորում (ըստ անհրաժեշտության)</t>
  </si>
  <si>
    <t>ի. համակարգի պիլոտային շահագործում (ըստ անհրաժեշտության)</t>
  </si>
  <si>
    <t>լ. համակարգի հանձնում շահագործման (ըստ անհրաժեշտության)</t>
  </si>
  <si>
    <t>Պարբերաբար  ներքին աուդիտի իրականացում՝ մաքսային հսկողության գործընթացների բարելավման, ճիշտ և միատեսակ կիրառման ապահովման նպատակով</t>
  </si>
  <si>
    <t xml:space="preserve">«Մաքսային իրավախախտումների միասնական շտեմարան» համակարգի պիլոտային շահագործում, համակարգի շարունակական մշտադիտարկում և հավաքագրվող տվյալների վերլուծությունների իրականացում </t>
  </si>
  <si>
    <t>ը. Համակարգի ներպետական և միջպետական թեստավորման իրականացում ԵՏՀ հետ</t>
  </si>
  <si>
    <t>Մաքսային հսկողության արդյունավետության բարձրացման նպատակով առավել թիրախային երկրների առանձնացում, վերջինների հետ համաձայնագրերի կնքման գործընթացի կազմակերպում՝ հստակ սահմանելով այդ գործողությունների կողմերի համար թույլատրելի մեթոդներն ու ձևերը, ինչպես նաև տեղեկատվության փոխանակման մեխանիզմները</t>
  </si>
  <si>
    <t>Հանրության, ԱՏԳ մասնակիցների հետադարձ կապի արդյունավետ հարթակների ապահովում՝ որպես առանցքային սկզբունք սահմանելով այն, որ որևէ խնդիր կարծիք, առաջարկ չմնա անպատասխան և արդյունքների մասին տեղեկացվի դիմողին</t>
  </si>
  <si>
    <t>«Մաքսային իրավախախտումների միասնական շտեմարան» համակարգը մշակված է և ներկայումս գտնվում է պիլոտային շահագործման փուլում։ Համակարգի ներդրումը կարևոր է ՊԵԿ կառուցվածքային ստորաբաժանումների կողմից մաքսային իրավախախտումների հայտնաբերման և այդ իրավախախտումների հետագա ընթացքի ապահովման աշխատանքների համակարգման, համապատասխան տեղեկությունների հավաքագրման, կենտրոնացված պահպանման, մշակման և վերլուծության գործընթացների արդյունավետության տեսանկյունից։ Համակարգի ներդրման անհրաժեշտությունը պայմանավորված է նաև արտաքին առևտրի դյուրացմամբ, քանի որ այն հնարավորություն կտա բարձրացնել ՊԵԿ կողմից իրականացվող՝ մաքսային իրավախախտումների հետ կապված աշխատանքների և առկա տեղեկությունների վերլուծության արդյունավետությունը՝ հետագայում հնարավոր իրավախախտումներն առավել արդյունավետ թիրախավորելու նպատակով։ Համակարգի ներդրումից հետո հնարավորություն կստեղծվի ռիսկերի կառավարման համակարգում թիրախավորել իրավախախտումների պատմություն ունեցող տնտեսավարող սուբյեկտներին: Անհրաժեշտ է նաև ուսումնասիրել ՀՄԿ Customs Enforcement Network (CEN) համակարգի հետ փոխգործակցության հնարավորությունները։</t>
  </si>
  <si>
    <t xml:space="preserve"> Առևտրի դյուրացման ազգային կոմիտեի ստեղծում և աշխատանքների կազմակերպում</t>
  </si>
  <si>
    <t>Փորձաքննության գործընթացով անցնում են ստեղծված լաբորատորիաներում փաձքաքննության անցնելու համար նախսահմանված ապրանքների և նյութերի 30%-ը</t>
  </si>
  <si>
    <t>Մեղրի մաքսային կետի ենթակառուցվածքները, օգտագործվող տեխնոլոգիաները արդիականացվել են` ապահովելով սահմանհատման ժամանակահատվածի կրճատում</t>
  </si>
  <si>
    <t>4․1․1</t>
  </si>
  <si>
    <t>Մարդկային ռեսուրսների կառավարման (ՄՌԿ) համակարգի մշակում</t>
  </si>
  <si>
    <t xml:space="preserve">բ․ մարդկային ռեսուրսների կառավարման պրոֆեսիոնալ մասնագետների ինստիտուտի ներդրման ապահովման համար ստորաբաժանման դերի, գործառույթների, իրավասության շրջանակի սահմանում </t>
  </si>
  <si>
    <t>ե․  մարդկային ռեսուրսների կառավարման ստորաբաժանման գործառույթների  հիմնական կատարողական ցուցանիշների սահմանում</t>
  </si>
  <si>
    <t>զ․  մարդկային ռեսուրսների կառավարման ստորաբաժանման  պաշտոնների նկարագրերի վերանայում և համապատասխանեցում ստորաբաժանման կողմից իրականացվող գործառույթներին</t>
  </si>
  <si>
    <t>4․1․2</t>
  </si>
  <si>
    <t>ա․ մարդկային ռեսուրսների կառավարման ստորաբաժանմանը վերապահված գործառույթների բիզնես գործընթացների գույքագրում և նկարագրության իրականացում</t>
  </si>
  <si>
    <t>Մարդկային ռեսուրսների կառավարման նոր համակարգի ներդրման գործընթացը ենթադրում է ստորաբաժանմանը վերապահված գործառույթների բիզնես գործընթացների գույքագրում և նկարագրություն, գործընթացների իրականացման ընթացակարգերի  վերլուծություն, բացերի և անհամապատասխանությունների վերհանում, միջազգային լավագույն փորձի ուսումնասիրություն, այն տեղայնացնելու հնարավորությունների վերաբերյալ առաջարկությունների քննարկում, գործընթացների վերանայման մեխանիզմների մշակում</t>
  </si>
  <si>
    <t>Մարդկային ռեսուրսների կառավարման պրոֆեսիոնալ մասնագետների ինստիտուտի զարգացում</t>
  </si>
  <si>
    <t>ՄՌԿ մասնագետների աշխատանքի արդյունավետության բարձրացում</t>
  </si>
  <si>
    <t>ե․ մարդկային ռեսուրսների կառավարման ստորաբաժանման անձնակազմի շարունակական և պարբերական վերապատրաստումների իրականացում</t>
  </si>
  <si>
    <t>ա․ օրենսդրական փոփոխություններ և լրացումներ, որոնք կապահովեն մաքսային ծառայության ՄՌԿ համապարփակ տեղեկատվական նոր համակարգի ներդրումը։</t>
  </si>
  <si>
    <t xml:space="preserve">Միջոցառման իրականացումը ուղղված էՄՌԿ գործառույթների ամտոմատացմանը, գործընթացներիի բարելավմանը, ինչպես նաև տեղեկատվության վերլուծության հնարավորությունների ընդլայմանը։ Նոր տեղեկատվական համակարգը կներառի նաև կատարողականի գնահատման ամբողջական գործընթացը՝ ներառյալ կատարողական ցուցանիշնների վերլուծությունը, մաքսային ծառայողների աշխատանքի պլանավորումը և աշխատանքի արդյունքների մոնիթորինգը։
 </t>
  </si>
  <si>
    <t xml:space="preserve">ՄՌԿ տեղեկատվական նոր համակարգը օգտագործվում է ՄՌԿ բաժնի կողմից </t>
  </si>
  <si>
    <t>31.12.2027թ․</t>
  </si>
  <si>
    <t xml:space="preserve">բ․մարդկային ռեսուրսների կառավարման տեղեկատվական նոր համակարգի տեխնիկական բնութագերի կազմում </t>
  </si>
  <si>
    <t>գ․ համակարգի միջոցով ինչպես մարկային ռեսուրսների կառավարման ստորաբաժանման ներսում, այնպես էլ մաքսային ծառաայողների հետ հաղորդակցության, կատարողականի գնահատման ամբողջական գործընթացի իրականացման հնարավորությունների ապահովում</t>
  </si>
  <si>
    <t xml:space="preserve">դ․ տեղեկատվական նոր համակարգի ապահովում անհրաժեշտ տեղեկատվական գործիքակազմով
</t>
  </si>
  <si>
    <t>Ենթանպատակ 4.2․Կադրային վարչարարության գործընթացների բարելավում</t>
  </si>
  <si>
    <t>4․2․1</t>
  </si>
  <si>
    <t>Մարդկային ռեսուրսների կառավարման ոլորտի քաղաքանության իրականացման և իրավական շրջանակի վերանայում</t>
  </si>
  <si>
    <t xml:space="preserve">ՄՌԿ համակագը կանոնակարգող իրավական ակտերի արդիականացման վերաբերյալ առաջարկություններ </t>
  </si>
  <si>
    <t>բ․ ՄՌԿ գործունեությունը կարգավորող իրավական ակտերի պարբերական ուսումնասիրություն՝ որդեգրած կադրային քաղաքականությանը  համապատասխանության տեսանկյունից</t>
  </si>
  <si>
    <t>գ․ մշակել մարդկային ռեսուրսների կառավարման համակարգի բարելավման ռազմավարություն։</t>
  </si>
  <si>
    <t>ա․ ՀՀ ՊԵԿ մաքսային ծառայության մարդկային ռեսուրսների կառավարմանն առնչվող բոլոր ընթացիկ բիզնես գործընթացների համապարփակ ուսումնասիրություն,  գույքագրում՝ վերլուծելու առկա գործելակերպը և ընթացակարգերը</t>
  </si>
  <si>
    <t>ՀՀ ՊԵԿ մաքսային ծառայության կողմից իրականացվող ընթացակարգերի արդյունավետությունն ապահովելու նպատակով իրականացված կիրառվող բիզնես գործընթացների մանրամասն ուսումնասիրության, վերլուծության իրականացում՝ վերհանելու հնարավոր բացերը, ստանդարտացման կամ օպտիմալացման կարիք ունեցող գործառնությունները։ Ստանդարտացված ընթացակարգերի հիման վրա հստակ արձանագրությունների մշակումը հնարավորություն կտա զգալիորեն բարելավել ծառայությունների որակը, գործառույթների արդյունավետությունը, ապահովել ընթացակարգերի հստակություն և հետևողականություն՝ անկախ անձնակազմի անդամների փոփոխություններից</t>
  </si>
  <si>
    <t>Բիզնես գործընթացների օպտիմալացման վերաբերյալ առաջարկությունները մշակված են</t>
  </si>
  <si>
    <t>Աշխատանքային արձանագրությունների 100% արձանագրում՝ հիմնված օպտիմակացված բիզնես պրոցեսների վրա</t>
  </si>
  <si>
    <t>4․2․3</t>
  </si>
  <si>
    <t>Մաքսային մարմնի  ստորաբաժանումների ներուժի առավել արդյունավետ օգտագործման նպատակով՝  առկա մարդկային ռեսուրսների՝ ռազմավարական նպատակների պահանջներին  համապատասխանության գնահատում</t>
  </si>
  <si>
    <t>բ․ մարդկային ռեսուրսների կարողությունների և հմտությունների բացերի վերհանում՝ ըստ ստորաբաժանումների</t>
  </si>
  <si>
    <t>4․2.4</t>
  </si>
  <si>
    <t>էթիկայի կանոնների պահպանման նկատմամբ մոնիթորինգի համակարգը կիրառվում է</t>
  </si>
  <si>
    <t>ե․ Ուսումնասիրության արդյունքները տարվա կտրվածքով ամփոփել համապարփակ հաշվետվությամբ, որտեղ կկատարվի մանրամասն վերլուծություն, թե ինչպես են կատարվել ուսումնասիրությունները, ինչ եզրահանգումների են եկել  արդյունքում։ Միաժամանակ հաշվետվության պատրաստումը պետք է կրի պարբերական բնույթ և նախատեսվի ներքին կանոնակարգով։</t>
  </si>
  <si>
    <t xml:space="preserve">զ․ Վարքագծի կանոններին վերաբերվող պահանջների խախտման դեպքերի և կիրառված պատասխանատվության միջոցների մասին առանձին բաժին նախատեսել ՀՀ ՊԵԿ տարեկան հաշվետվության մեջ։
</t>
  </si>
  <si>
    <t>Է․ Ներդնել մաքսային պաշտոնատար անձանց գործողությունները և անգործությունը բողոքարկելու դեպքերի ռեեստր՝ ծառայողական գնահատման անդրադարձերի մասին նշումներով։</t>
  </si>
  <si>
    <t>4.2.5</t>
  </si>
  <si>
    <t>4․3․1</t>
  </si>
  <si>
    <t>Մաքսային ծառայության համակարգի աշխատակիցների ներգրավման գործընթացի բարելավում, նոր աշխատակիցների ադապտացման ծրագրի մշակում, տաղանդների ձեռբերման կառավարում</t>
  </si>
  <si>
    <t xml:space="preserve">ա․ նոր աշխտակիցների ադապտացման ծրագրի մշակում՝ համապատասխան տեղեկատվական բլոկերով (տեղեկատվության տրամադրում ՊԵԿ համապատասխան բաժնի մասին, գործառույթների, մատուցվող ծառայությունների, աշխատանքային մշակույթի, ինչպես նաև վարվող կադրային քաղաքանության վերաբերյալ)։ </t>
  </si>
  <si>
    <t xml:space="preserve">Մաքսային ծառայության համակարգի աշխատակիցների ներգրավումը,  նոր աշխատակիցների ադապտացման գործընթացը ՄՌԿ կարևոր գործառույթներից մեկն է։   Ներկայումս նոր աշխատակիցների հետ աշխատանք չի իրականացվում, այդ գործընթացը կանոնակարգված չէ։ Միջազգային պրակտիկայոււմ մեծ ուշադրություն է հատկացվում դրան՝ մշակվում է նոր աշխատակցի ադապտացման ծրագիր՝  համապատասխան տեղեկատվական բլոկերով, կազմակերպության, դրա գործառույթների, աշխատանքային մշակույթի, վարվող քաղաքականության մասին, մշակվում և իրականացվում են նոր աշխատակիցների համար ներածական դասընթացներ։
Անձնակազմի ներգրավման և պահպանման գործընթացում ներկայումս մեծացել է  հետաքրքրությունը "տաղանդների", այսիքն՝ բազմակողմանի հմտություններով և ունակություններով օժտված, բարձր որակավորում և մեծ ներդրում ունեցող աշխատողների կառավարման նկատմամբ։  Տաղանդների ձեռքբերման նպատակն է կառուցել ուժեղ թիմ, որը համապատասխանում է կազմակերպության նպատակներին: Տաղանդների ձեռքբերման կառավարումը համակարգված գործընթաց է, որն իրականացվում  է ՄՌԿ մասնագետների կողմից և ուղղված է  կազմակերպությունում նոր տաղանդնեիր ներգրավմանը և պահպանմանը։  </t>
  </si>
  <si>
    <t>բ․ նոր աշխտակիցների ադապտացման ծրագրում ադապտացման մեթոդների և գործիքների սահմանում՝ հաշվի առնելով մաքսային ծառայության առանձնահատկությունները։</t>
  </si>
  <si>
    <t xml:space="preserve">գ Նոր աշխատակիցների համար ներածական դասընթացների անցկացման կարգի մշակում և ընդունում, որտեղ կներառվեն դասընթացների կազմակերպման և անցկացման ընթացակարգը, թեմաները, տևողությունը, թեմաների մանրամասնեցման մակարդակը, ուսուցման մեթոդները, դասընթացավարները։ </t>
  </si>
  <si>
    <t>դ մշակել և հաստատել նոր աշխատակիցների ներածական դասընթացի ծրագիր։</t>
  </si>
  <si>
    <t>4․3․2</t>
  </si>
  <si>
    <t>ա․ մաքսային ծառայության թափուր պաշտոների համալրման համար անցկացվող մրցույթի բիզնես գործընթացի նկարագրում</t>
  </si>
  <si>
    <t>Մաքսային ծառայություն ընդունելության դիմումների և պահանջվող այլ փաստաթղթերի ընդունման էլեկտրոնային համակարգը մշակված է</t>
  </si>
  <si>
    <t>բ․ նկարագրված բիզնես գործընթացի վերլուծություն, ընթացակարգով սահմանված գործընթացի անհամապատասխանության վերհանում։</t>
  </si>
  <si>
    <t>գ․ մաքսային ծառայության պաշտոնների անձնագրերի վերանայում՝ տվյալ պաշտոնին վերապահված գործառույթների և կոմպետենցիաների տիրապետման, ինչպես նաև մաքսային համակարգի ռազմավարական նպատակների իրականացման համար անհրաժեշտ գործառույթների և կոմպետըենցիաների տիրապետման նկատմամբ պահանջների հստակեցում, ինչը պաշտոնի համալրման համար միցույթի ժամանակ կնպաստի թեկնածուների ճիշտ ընտրությանը։</t>
  </si>
  <si>
    <t>դ մաքսային ծառայության պաշտոնների անձնագրերում տվյալ պաշտոնի համար կոմպետենցիաները ներկայացնել ըստ կոմպետենցիաների տիրապետման մակարդակների։</t>
  </si>
  <si>
    <t>զ մաքսային ծառայության թափուր պաշտոն զբաղեցնելու համար մրցույթի անցկացման կարգում ներառել հարցազրույցի փուլից առաջ հարցազրույցի հրավիրված թեկնածուների հոգեբանական թեստավորում անցնելու պարտադիր պահանջ: Հոգեբանական թեստը կազմվում է թեկնածուների անձնական հատկանիշները (մասնավորապես՝ ինքնատիրապետում, բարեվարքություն, վարվեցողություն, պատասխանատվության զգացում, հաղորդակցման հմտություններ, տրամաբանելու և վերլուծական կարողություններ և մաքսային ծառայողի համար անհրաժեշտ ոչ մասնագիտական այլ հատկանիշներ)  գնահատելու համար։</t>
  </si>
  <si>
    <t>է հոգեբանական թեստավորման չափանիշների և անցկացման կարգի մշակում և հաստատում։</t>
  </si>
  <si>
    <t>ը․ մաքսային ծառայություն ընդունելության դիմումների և պահանջվող այլ փաստաթղթերի ընդունման էլեկտրոնային համակարգի մշակում և ներդրում</t>
  </si>
  <si>
    <t>թ․ մաքսային ծառայություն ընդունելության դիմումների և պահանջվող այլ փաստաթղթերի ընդունման էլեկտրոնային համակարգի ինտեգրում ՄՌԿ տեղեկատվական համակարգին՝ միաժամանակ ապահովելով դիմորդների անձնական տվյալների պաշտպանությունը</t>
  </si>
  <si>
    <t>ժ․ Էլեկտրոնային համակարգում ստեղծել մաքսային ծառայության թափուր պաշտոնների համալրման համար հայտարարված մրցույթներին դիմողների տվյալների բազա, որը պետք է պարբերաբար թարմացվի</t>
  </si>
  <si>
    <t>ժա․ ․ առնվազն թեստավորման փուլն անցած թեկնածուների հետ հաղորդակցության և հետադարձ կապի մեխանիզմների մշակում և ներդրում</t>
  </si>
  <si>
    <t>4․3․3</t>
  </si>
  <si>
    <t>Ներկայումս ՊԵԿ-ում բացակայում է որոշակի պաշտոնների համար կադրային ռեզերվի  ռեգիստրի ձևավորման պահանջ և մեխանիզմ։ Արդյունքում, հնարավոր են դեպքեր, երբ նույնիսկ առանցքային պաշտոն զբաղեցնող պաշտոնատար անձ ազատում է իր պաշտոնը, մաքսային մարմինը կանգնում է համապատասխան փոխարինող անձ գտնելու հրատապության առաջ՝ առանց համապատասխան որակավորված թեկնածուների պատրաստի ռեգիստրի: Նման մեխանիզմի  բացակայությունը սահմանափակում է նախկին մաքսային աշխատողներին, ովքեր ունեն անհրաժեշտ որակավորումներ կամ անհրաժեշտ իրավասություններ ունեցող արտաքին թեկնածուների անհապաղ դիտարկելու հնարավորությունը: Դա կարող է հանգեցնել ոչ օպտիմալ համալրման որոշումների՝ ազդելով մաքսային գործառնությունների արդյունավետության վրա կամ զգալիորեն երկարացնել կարևոր պաշտոնները զբաղեցնելու համար թեկնածուների ընտրության գործընթացը։</t>
  </si>
  <si>
    <t>4․3․4</t>
  </si>
  <si>
    <t>ա․մաքսային ծառայողների հոսունության մակարդակի հաշվարկում, ծառայությունը լքելու պատճառների և հետևանքների վերլուծության իրականացում</t>
  </si>
  <si>
    <t>Մաքսային ծառայողների աշխատողների պահպմանման գործակիցը (employee retention rate) կազմում է առնվազն 75%</t>
  </si>
  <si>
    <t>գ մաքսային ծառայողների հետ թափանցիկ հաղորդակցության մեթոդների կիրառում, նրանց կարիքների և խնդիրների վերհանման համար տարբեր հարցաշարերի մշակում, վերհանված կարիքների  ուսումնասիրություն և դրանց լուծման հնարավորությունների մեխանիզմների  մշակում</t>
  </si>
  <si>
    <t>դ մաքսային ծառայողների հետ հետադարձ կապի համակարգի մշակում և ներդնում (առցանց կամ անցանց եղանակով)՝ ապահովելու համար ծառայողների հետ պարբերական հարցազրույցների, ղեկավարւթյան և թիմի անդամների միջև ֆորմալ և ոչ ֆորմալ շփումների և տեղեկատվության փոխանակման հնարավորությունը</t>
  </si>
  <si>
    <t>ե  NPS (Net Promoter Score/սպառողների հավատարմության ինդեքս) մեթոդի ուսումնասիրություն և ներդնում։</t>
  </si>
  <si>
    <t>Ենթանպատակ 4.4․Մաքսային ծառայողների կատարողականի կառավարման արդիականացված համակարգի ներդնում</t>
  </si>
  <si>
    <t>4․4․1</t>
  </si>
  <si>
    <t>Մաքսային մարմնի աշխատակիցների պաշտոնների նկարագրերի (անձնագրերի) վերանայում՝ ապահովելով իրականացվող գործառույթների համապատասխանությունը փաստացի իրականացվող գործառույթներին և ընթացակարգերին</t>
  </si>
  <si>
    <t>4․4․2</t>
  </si>
  <si>
    <t>Մաքսային ծառայողների աշխատանքային ծրագրերի կազմման գործընթացի բարելավում</t>
  </si>
  <si>
    <t>ա․մաքսային ծառայողների աշխատանքային ծրագրերի կազմման և հաստատման կարգի վերանայում՝ հաշվի առնելով մաքսային ծառայության  առանձնահատկությունները  և առաջնահերթությունները</t>
  </si>
  <si>
    <t xml:space="preserve">բ․ մաքսային ծառայողների աշխատանքային ծրագրերի կազմման մեթոդական ձեռնարկների մշակում՝ աշխատանքային ծրագրերում աշխատանքների նպատակների և ցուցանիշների մշակման նկատմամբ պահանջների մանրամասն նկարագրությամբ, կոնկրետ օրինակներով  </t>
  </si>
  <si>
    <t>գ․ մաքսային ծառայության բոլոր պաշտոնների համար պահանջվող կոմպետենցիաների վերանայում՝ սահմանելով յուրաքանչյուր պաշտոնի համար տվյալ կոմպետենցիայի տիրապետման մակարդակը։</t>
  </si>
  <si>
    <t>դ․ սահմանված կոմպետենցիաների պահանջվող մակարդակի սահմանման մեթոդաբանութան մշակում։</t>
  </si>
  <si>
    <t>ե․ ղեկավար պաշտոններ զբաղեցնող մաքսային ծառայողների աշխատանքային ծրագրերում կատարողական այնպիսի ցուցանիշների ներառում, որոնց միջոցով հնարավոր կլինի գնահատել ղեկավարի ենթակայության տակ գտնվող աշխատողների աշխատանքից բավարարվածության և մոտիվացման ապահովման մակարդակը։</t>
  </si>
  <si>
    <t>զ․ համապատասխան իրավական ակտերում ավելացնել դրույթ՝ համակարգի գործունեության ուսումնասիրության և մոնիթորինգի իրականացման պահանջի վերաբերյալ</t>
  </si>
  <si>
    <t>ը․մաքսային ծառայություններ իրականացնող մաքսային ծառայողների հիմնական կատարողական ցուցանիշների առցանց ռեժիմով մշտադիտարկման (մոնիթորինգի) համակարգի ներդնում՝  օգտագործելով տեղեկատվական տեխնոլոգիաների հնարավորությունները։</t>
  </si>
  <si>
    <t>4․4․3</t>
  </si>
  <si>
    <t>Ստորաբաժանման աշխատողների անհատական աշխատանքային ծրագրերում սահմանված չափելի կատարողական ցուցանիշները (KPI) հետագայում պետք է ագրեգացվեն ստորաբաժանման ղեկավարի կատարողականի ցուցանիշներում՝ ապահովելով KPI-ների ուղղահայաց կապը։
Միջազգային փորձը ցույց է տալիս, որ ներկայումս որպես կառավարման գործիք մեծ կիրառություն ունի Հարվարդի համալսարանի բիզնես դպրոցի պրոֆեսոր Ռոբերտ Քափլանի և կառավարման ամերիկյան խորհրդատու Դեյվիդ Նորթոնի կողմից մշակված  Հավասարակշռված գնահատման քարտը  Balanced Scorecard (BSC)։ Դրանք լայնորեն օգտագործվում են ամբողջ աշխարհում բիզնեսի և արդյունաբերության, պետական և ոչ առևտրային կազմակերպություններում: BSC-ն կառավարման հիմնական գործիքներից մեկն է, որը թույլ է տալիս հետևել նպատակների իրականացմանը՝ առաջին հերթին որպես ընկերության գործունեության արդյունավետության ռազմավարական կառավարման գործիք և մասամբ ստանդարտացված հաշվետվական համակարգ:
Բիզնես գործընթացների մակարդակում ռազմավարական նպատակների ձեռքբերումը դիտարկվում է` օգտագործելով KPI-ները, որոնք թույլ են տալիս գնահատել կատարված աշխատանքի արդյունավետությունը: KPI- ները ծառայում են որպես մի տեսակ փարոսներ, որոնք օգնում են հասկանալ, թե որքանով են ծրագրված արժեքները ձեռք բերվել:</t>
  </si>
  <si>
    <t xml:space="preserve"> 4.4․4</t>
  </si>
  <si>
    <t>4․4․5․</t>
  </si>
  <si>
    <t>ՀՀ կառավարության 20․11․2011թ․ N 1510-Ն որոշմամբ հաստատված կարգի համաձայն աշխատանքային ծրագրերը կազմվում են տարեկան կտրվածքով տարբեր մակարդակներում, որտեղ ներառվում են հաջորդ տարվա ընթացքում կատարման ենթակա աշխատանքները՝ իրենց նպատակներով, ակնկալվող արդյունքներով, աշխատանքը բնութագրող արդյունքային ցուցանիշնեըով և աշխատանքի արդյունքում ստացվող փաստաթղթի տեսակով։ 
Մաքսային ծառայողների կատարողականը գնահատվում է աշխատանքային ծրագրերում ընդգրկված յուրաքանչյուր աշխատանքի համար՝ այդ աշխատանքի գնահատման վերջնական արդյունքային ցուցանիշով։ Ցուցանիշների մշակված համակարգ առկա չէ, դրանք ամեն կոնկրետ աշխատանքի դեպքում մշակում է հենց աշխատակիցը։Մշակված չէ նաև ցուցանիշների հաշվարկման մեթոդաբանություն, ինչը դժվարություներ է ստեղծում կատարված աշխատանքի գնահատման ժամանակ։ Դրական է համարվում կատարողականի 60 տոկոս  և ավելի գնահատականը, որի արդյունքում աշխատողը պարգևատրվում է։ Յուրաքանչյուր կիսամյակ ծառայողները պարգևատրվում են ՊԵԿ նախագահի հրամանի հիման վրա։
Պարգևատրման չափի հաշվարկման համար հիմք է հանդիսանում կատարողականի գնահատականը և տվյալ կիսամյակի համար աշխատավարձի չափը՝ ՀՀ կառավարության 20․10․2011թ․ N 1510-Ն որոշմամբ հաստատված կարգով սահմանված բանաձևով։ 
Հաշվի առնելով մաքսային ծառայության առանձնահատկությունները և նրանց կողմից կատարվող աշխատանքների յուրահատկությյունները, առաջանում է մաքսային ծառայողների կատարողականի գնահատման ընթացակարգերի վերանայման, գնահատման մեթոդական ուղեցեւյցների մշակման անհրաժեշտություն։
Պարգևատրման գործընթացը բավականաչափ պարզ և թափանցիկ չէ, այն չի ծառայում մաքսային ծառայողների աշխատանքի արդյունավետության բարձրացմանբ համար որպես մոտիվացման գործիք։</t>
  </si>
  <si>
    <t xml:space="preserve">Մաքսային ծառայողների կատարողականի գնահատման նոր մեխաիզմները մշակված են
Մաքսային ծառայողների կատարողականի վրա հիմնված պարգևատրման՝   որպես աշխատանքի որակի և արդյունավետության բարելավման մոտիվացիայի գործիք կիրառելու մեխանիզմները մշակված են
</t>
  </si>
  <si>
    <t>Կատարողականի գնահատման արդիականացված   համակարգը ներդրված է 
Կտարողականի գնահատման վրա հիմնված պարգևատրման  համակարգի գործիքակազմը ներդրված է և կիրառվում է</t>
  </si>
  <si>
    <t>դ. մաքսային ծառայողների աշխատանքային ծրագրերում ներառված աշխատանքների գնահատման մեթոդական ուղեցույցի մշակում և հաստատում։</t>
  </si>
  <si>
    <t>ե.արդյունքների, կատարողականի վրա հիմնված պարգևատրման գործիքակազմի ներդրում</t>
  </si>
  <si>
    <t>4․4․6</t>
  </si>
  <si>
    <t>ա․ համապատասխան իրավական ակտերում աշխատանքի կատարողականի գնահատման  համակարգի գործունեության ուսումնասիրության և մոնիթորինգի իրականացման պահանջի վերաբերյալ առաջարկի ներկայացում</t>
  </si>
  <si>
    <t>Կատարողականի գնահատման մոնիթորինգի հաստատված համակարգով ներկայացվում են պարբերական հաշվետվություններ</t>
  </si>
  <si>
    <t>Ենթանպատակ 4.5․Մաքսային ծառայողներիաշխատանքի վարձատրության և սոցիալական երաշխիքների  արդիականացված համակարգերի ներդնում</t>
  </si>
  <si>
    <t>4․5․1</t>
  </si>
  <si>
    <t>4․5․2</t>
  </si>
  <si>
    <t>4․5․3</t>
  </si>
  <si>
    <t>4․5․4</t>
  </si>
  <si>
    <t>ՊԵԿ աշխատակիցների ծառայողական պարտականությունների պատշաճ իրականացումն ապահովելու համար ՊԵԿ աշխատակիցների կենսական օգտագործման ենթակառուցվածքների ուսումնասիրություն,  խնդիրների վերհանում,  պայմանների բարելավման վերաբերյալ առաջարկությունների և նախագծերի մշակում, պարբերաբար  վերահսկողության և մոնիթորինի իրականացում</t>
  </si>
  <si>
    <t xml:space="preserve">ՀՀ սահմանային անցման կետերում ծառայություն իրականացնող ՊԵԿ աշխատակիցների համար անհրաժեշտ ենթակառուցվածքների (կեցության վայր, տրանսպորտ և այլն) կառուցման կամ արդիականացցման վերաբերյալ առաջարկությունները ընդունվել են </t>
  </si>
  <si>
    <t>բ. ըստ անհրաժեշտության ենթակառուցվածքների՝  բնակարաններ, հանրակացարաններ, ճաշարաններ և այլն, կառուցման կամ առկա ենթակառուցվածքների արդիականացման վերաբերյալ առաջարկությունների ներկայացում</t>
  </si>
  <si>
    <t>գ. կենսական օգտագործման ենթակառուցվածքների պարբերաբար  վերահսկողության և մոնիթորինի պլանի մշակում</t>
  </si>
  <si>
    <t>դ. կենսական օգտագործման ենթակառուցվածքների պարբերաբար  վերահսկողության և մոնիթորինի իրականացում</t>
  </si>
  <si>
    <t>Ենթանպատակ 4․6 Մասնագիտական կրթության, վերապատրաստման և որակավորման համակարգի արդիականացում, գիտելիքների փոխանակում.</t>
  </si>
  <si>
    <t>ա․ Ուսումնասիրել և վերհանել ՄՌԿ վարչության և "Ուսումնական կենտրոն՛  ՊՈԱԿ-ի ներկայումս իրականացվող գործառույթները, բացահայտել խաչվող գործառույթները</t>
  </si>
  <si>
    <t>Վերապատրաստման գործընթացի կազմակերպումը և իրականացումը կանոնակարգված է</t>
  </si>
  <si>
    <t xml:space="preserve"> 4.6․5</t>
  </si>
  <si>
    <t>Տեղայնացված դասընթացներով վերապատրաստվում են Մաքսային ծառայության առնվազն 100 աշխատող</t>
  </si>
  <si>
    <t xml:space="preserve"> 4.6․6</t>
  </si>
  <si>
    <t>Ենթանպատակ 4.7․ Ներքին հաղորդակցության գործընթացի բարելավում</t>
  </si>
  <si>
    <t>4․7․2</t>
  </si>
  <si>
    <t>Մաքսային ծառայության ներքին հաղորդակցման պլանի մշակում և ներդրում</t>
  </si>
  <si>
    <t xml:space="preserve">ա. Մաքսային ծառայության ներքին հաղորդակցման պլանի մշակում </t>
  </si>
  <si>
    <t xml:space="preserve">ՀՀ ՊԵԿ-ը և մասնավորապես մաքսային ծառայությունը չունի ամբողջական, համընդգրկուն հաղորդակցության ռազմավարություն։ Հաղորդակցության կոմպոնենտն ինտեգրված է ՊԵԿ-ի մի շարք փաստաթղթերում, այնուամենայնիվ, գրեթե բացակայում են այնպիսի կարևոր բաղկացուցիչներ, ինչպիսիք են ՊԵԿ հաղորդակցության ընդհանուր նպատակը և խնդիրները, հիմնական հաղորդագրությունները, սահմանված չեն ուղղահայաց և հորիզոնական հաղորդակցությունների թիրախ խմբերը և նրանցից յուրաքանչյուրի հետ հաղորդակցության գործիքներն ու ուղիները (բացառությամբ լրատվամիջոցների), թիրախ խմբերից յուրաքանչյուրի հետ հաղորդակցության պատասխանատուները։ </t>
  </si>
  <si>
    <t>Մաքսային ծառայության ներքին հաղորդակցման պլանը մշակված է</t>
  </si>
  <si>
    <t>բ. Մաքսային ծառայության ներքին հաղորդակցման պլանի հաստատում համապատասխան ներքին իրավական ակտով</t>
  </si>
  <si>
    <t>գ. Մաքսային ծառայության ներքին հաղորդակցման ուղեցույցի մշակում՝ հտուկ ուշադրություն դարձնելով ճգնաժամային իրավիճակներում հաղորդակցություններին</t>
  </si>
  <si>
    <t>ՀՀ ՊԵԿ կողմից մաքսային ընթացակարգերում, աշխատելաոճում, կիրառվող համակարգերում և այլ ոլորտներում փոփոխություններ նախաձեռնելուց հետո  տվյալ փոփոխության մասնակից աշխատակազմի ներկայացուցիչների հետ  հետադարձ կապի ապահովում</t>
  </si>
  <si>
    <t xml:space="preserve">Մաքսային մարմնի կառուցվածքային ստորաբաժանումների աշխատակիցների, աշխատակիցների և ղեկավարության հետ կանոնավոր հանդիպումների մեխանիզմների մշակում, ղեկավար-աշխատող փոխադարձ կապի ամրապնդում և ներքին հաղորդակցման մշակույթի զարգացում
</t>
  </si>
  <si>
    <t>Միջոցառման նպատակն   է մշակել ստորաբաժանումների աշխատակիցների՝ ղեկավարության հետ կանոնավոր հանդիպումների ընթացակարգ, ՊԵԿ տարբեր ստորաբաժանումների աշխատակիցների, աշխատակիցների և ղեկավարության հետ կանոնավոր հանդիպումների մեխանիզմներ, ուղեցույցներ,  ղեկավարության հետ կանոնավոր հանդիպումների արձանագրման և հաշվետվությունների կազմման ընթացակարգեր և ձևաչափեր։</t>
  </si>
  <si>
    <t>Ենթանպատակ 4.8․ Մարդկային ռեսուրսների տվյալների վերլուծություն</t>
  </si>
  <si>
    <t>4․8.1</t>
  </si>
  <si>
    <t>ա․ մաքսային ծառայողների տվյալների հավաքագրման և վերլուծության մեթոդաբանության մշակում</t>
  </si>
  <si>
    <t xml:space="preserve">ՄՌԿ համակարգում հավավքում է հսկայական քանակությամբ տվյալներ, որոնք ցավոք, հաճախ մնում են չօգտագործված։
ՄՌ վերլուծությունը տվյալների վրա հիմնված մոտեցում է աշխատավայրում մարդկանց կառավարելու համար: ՄՌ վերլուծությունը, որը նաև հայտնի է որպես մարդկանց վերլուծություն, աշխատուժի վերլուծություն կամ տաղանդների վերլուծություն, պտտվում է մարդկանց խնդիրների վերլուծության շուրջ՝ օգտագործելով տվյալները կազմակերպության վերաբերյալ կարևոր հարցերին պատասխանելու համար: Սա հնարավորություն է տալիս ավելի լավ և տվյալների վրա հիմնված որոշումներ կայացնել:
</t>
  </si>
  <si>
    <t>ՄՌ վերլուծության մեթոդաբանությունը հաստատված է</t>
  </si>
  <si>
    <t>ՄՌ վերլուծության մեթոդաբանությունը փորձարկված է</t>
  </si>
  <si>
    <t>բ․մաքսային ծառայողների տվյալների հավաքագրման և վերլուծության մեթոդաբանության փորձարկում և ներդնում</t>
  </si>
  <si>
    <t>4․8.2</t>
  </si>
  <si>
    <t>Մաքսային մարմնում մարդու վարքագիծը առաջնորդող գործողությունների վերլուծություն</t>
  </si>
  <si>
    <t>ա․ սահմանել վերլուծության ենթակա հարցերի շրջանակը</t>
  </si>
  <si>
    <t>ՄՌ վերլուծության գործիքակազմը մշակված է
ՄՌ վերլուծության ուղեցույցը հաստատված է</t>
  </si>
  <si>
    <t xml:space="preserve">ՄՌ վերլուծության ուղեցույցը կիրառվում է </t>
  </si>
  <si>
    <t>բ․ սահմանել վերլուծության կիրառելի գործիակազմը</t>
  </si>
  <si>
    <t>գ․ մշակել ՄՌ վերլուծության մանրամասն ուղեցույց</t>
  </si>
  <si>
    <t>4․8.3</t>
  </si>
  <si>
    <t>Ընդամենը՝ 3 միջոցառում</t>
  </si>
  <si>
    <t>Ենթանպատակ 4.9․ ՊԵԿ ծառայողների առողջության և աշխատանքի անվտանգության ապահովում</t>
  </si>
  <si>
    <t>4․9.1</t>
  </si>
  <si>
    <t>ՊԵԿ ծառայողների առողջության և աշխատանքի անվտանգության և պահպանման ներքին կանոնակարգի մշակում և ընդունում՝ սահմանելով աշխատանքի անվտանգ պայմանների ապահովման կանոնները</t>
  </si>
  <si>
    <t>Եվրամիության գործունեության մասին պայմանագրի 153-րդ հոդվածի համաձայն  ԵՄ-ն ընդունել է աշխատանքում անվտանգության և առողջության պահպանման վերաբերյալ մի շարք հրահանգներ:
“Աշխատանքի ընթացքում աշխատողների անվտանգության և առողջության բարելավումը խրախուսող միջոցառումների ներդրման մասին» Շրջանակային դիրեկտիվը, իր կիրառման լայն շրջանակով նպատակ ունի հաստատել անվտանգության և առողջության հավասար մակարդակ՝ ի շահ բոլոր աշխատողների։ Հրահանգը գործատուներին պարտավորեցնում է համապատասխան կանխարգելիչ միջոցներ ձեռնարկել աշխատանքը ավելի անվտանգ և առողջ դարձնելու համար։
ՀՀ աշխատանքային օրենսգրքի 243-րդ, 245-րդ, 248-րդ,  253-րդ հոդվածներով սահմանված են գործատուի կողմից յուրաքանչյուր աշխատողի համար օրենքով սահմանված` պատշաճ, անվտանգ և առողջության համար անվնաս պայմաններ ստեղծելու, ինչպես նաև աշխատողների անվտանգության ապահովման և առողջության պահպանության վերաբերյալ ներքին իրավական ակտեր ընդունելու պահանջներ։
ՀՀ կառավարության 29․06․2006թ․ N 1007-Ն որոշմամբ հաստատվել է կազմակերպության աշխատողների անվտանգության ապահովման և առողջության հարցերով հանձնաժողովի գործունեության կարգը, սակայն նման հանձնաժողով ՊԵԿ-ում չի ձևավորվել։
Սույն միջոցառումների իրականացմամբ կկանոնակարգվի ՀՀ ՊԵԿ-ի կողմից   աշխատողների անվտանգության ապահովման և առողջության պահպանության խնդիրը։</t>
  </si>
  <si>
    <t>ՊԵԿ ծառայողների առողջության և աշխատանքի անվտանգության և պահպանման ներքին կանոնակարգը ընդունված է</t>
  </si>
  <si>
    <t>Ախատանքի անվտանգ պայմանների ապահովման կանոնները կիրառվում են</t>
  </si>
  <si>
    <t>բ․ կանոնակարգով աշխատանքի անվտանգ պայմանների ապահովման կանոնների սահմանում, հաշվի առնելով մաքսային ծառայության առանձնահատկությունները</t>
  </si>
  <si>
    <t xml:space="preserve">գ․ նորմատիվ իրավական ակտով կանոնակարգի հաստատում և ներդնում
</t>
  </si>
  <si>
    <t>4.9․2</t>
  </si>
  <si>
    <t>Ստեղծել ՊԵԿ աշխատողների առողջության և աշխատանքի անվտանգության ապահովման հարցերով հանձնաժողով, հաստատել հանձնաժողովի կազմը և աշխատակարգը</t>
  </si>
  <si>
    <t>ա․ ՊԵԿ նախագահի հրամանով ստեղծել ՊԵԿ աշխատողների առողջության և աշխատանքի անվտանգության ապահովման հարցերով հանձնաժողով</t>
  </si>
  <si>
    <t>ՊԵԿ աշխատողների առողջության և աշխատանքի անվտանգության ապահովման հարցերով հանձնաժողովը ստեղծված է</t>
  </si>
  <si>
    <t>Հանձնաժողովի կողմից իրականացվում է աշխատանքի անվտանգության և առողջության կանոնների  պահպանման պարբերական մոնիթորինգ</t>
  </si>
  <si>
    <t xml:space="preserve">բ․ Հրամանով  հաստատել  հանձնաժողովի կազմը և աշխատակարգը	</t>
  </si>
  <si>
    <t xml:space="preserve">գ․ Հանձնաժողովի աշխատակարգով նախատեսել հանձնաժողովի կողմից ՊԵԿ-ում աշխատանքի անվտանգության և առողջության պահպանման հետ կապված իրավիճակի ուսումնասիրություն կատարելու, ուսումնասիրության արդյունքների մասին հաշվետվություն ներկայացնելու մասին դրույթ։ </t>
  </si>
  <si>
    <t>գ․ Կարգով հաստատել հանձնաժողովի կողմից աշխատանքի անվտանգության և առողջության կանոնների  պահպանման պարբերական մոնիթորինգ իրականացնելու գործառույթ</t>
  </si>
  <si>
    <t>4․9.3</t>
  </si>
  <si>
    <t xml:space="preserve">ա․ Մշակել աշխատավայրի ռիսկերի գնահատման մեթոդաբանություն՝ տեղայնացնելով ԵՄ-ի “Աշխատանքի ընթացքում աշխատողների անվտանգության և առողջության բարելավումը խրախուսող միջոցառումների ներդրման մասին» Շրջանակային դիրեկտիվի համապատասխան դրույթները։ </t>
  </si>
  <si>
    <t>ԵՄ-ի կողմից ընդունված “Աշխատանքի ընթացքում աշխատողների անվտանգության և առողջության բարելավումը խրախուսող միջոցառումների ներդրման մասին» Շրջանակային դիրեկտիվը որպես հիմնական տարր ներկայացնում է ռիսկի գնահատման սկզբունքը և սահմանում դրա հիմնական տարրերը (օրինակ՝ վտանգի նույնացում, աշխատողի մասնակցություն, համարժեք միջոցառումների մշակում ռիսկը վերացնելու առաջնահերթությամբ, փաստաթղթավորում և աշխատավայրի վտանգների պարբերական վերագնահատում): 
Կանխարգելիչ միջոցառումներ իրականացնելու նոր պարտավորությունը անուղղակիորեն շեշտում է անվտանգության և առողջության կառավարման նոր ձևերի կարևորությունը` որպես ընդհանուր կառավարման գործընթացների մի մաս:
ՀՀ օրենսդրությամբ այս հարցը մասնակի կարգավորվում է ՀՀ աշխատանքային օրենսգրքով, որի 254-րդ հոդվածի համաձայն «Գործատուն ապահովում է, որպեսզի իր կազմակերպություն գործուղված աշխատողն անցնի աշխատանքային պարտականությունների կատարմանը միայն կազմակերպությունում գոյություն ունեցող հնարավոր ռիսկի գործոնների մասին տեղեկացվելուց և աշխատանքի որոշակի վայրում անվտանգության հրահանգավորում անցնելուց հետո»:։
Աշխատավայրի ռիսկերի գնահատման մեթոդաբանության մշակման և կիրառման արդյունքում հնարավոր կլինի պարբերաբար գնահատել աշխատավայրի ռիսկերի առաջացման հնարավորությունները։</t>
  </si>
  <si>
    <t>Աշխատավայրի ռիսկերի գնահատման մեթոդաբանությունը ընդունված է</t>
  </si>
  <si>
    <t xml:space="preserve">Մեթոդաբանւթյունը համապատասխանում  ԵՄ-ի “Աշխատանքի ընթացքում աշխատողների անվտանգության և առողջության բարելավումը խրախուսող միջոցառումների ներդրման մասին» Շրջանակային դիրեկտիվի  դրույթներին   </t>
  </si>
  <si>
    <t>բ․ ռիսկերի գնահատման գործառույթի սահմանում ՊԵԿ կանոնադրությամբ, ինչպես նաև ՊԵԿ համապատասխան  ստորաբաժանումների  կանոնադրություններով</t>
  </si>
  <si>
    <t xml:space="preserve">գ․ ռիսկերի գնահատման մեթոդաբանության պարբերաբար վերանայում և արդիականացում
</t>
  </si>
  <si>
    <t>Էքսպրես-բեռների կառավարման ավտոմատացված համակարգի գործարկում և ինտեգրում Ռիսկերի կառավարման համակարգի հետ</t>
  </si>
  <si>
    <t>Աշխատանքային  կանոնակարգերի ընդունում, կիրարկում և ուսուցման իրականացում</t>
  </si>
  <si>
    <t>Մաքսային կանոնների խախտման մի շարք դեպքերում իրավախախտումների քրեականացման հարցի ուսումնասիրություն և արդյունքների ամփոփում</t>
  </si>
  <si>
    <t>ա․ մաքսային կանոնների մի շարք դեպքերը քրեականացնելու համար օրենսդրության և գործելակերպի համապարփակ ուսումնասիրության իրականացում</t>
  </si>
  <si>
    <t xml:space="preserve">ԱՏԳ ընթացակարգերի արդյունավետությունը բարձրացնելու և բարձրակարգ, ժամանակակից ծառայություններ մատուցելու նպատակով ԱՏԳ սպասարկման կենտրոն(ներ)ի ստեղծման  միջոցառումների ծրագրի մշակում </t>
  </si>
  <si>
    <t>Մաքսային գործի բնագավառում գործունեություն իրականացնող անձանց և  (կամ) ԱՏԳ իրականցնողների կողմից  օրենսդրությամբ նախատեսված դեպքերում մաքսային մարմիններին ներկայացվող հաշվետվությունների էլեկտրոնային եղանակով ներկայացնելու հնարավորությունների ստեղծում</t>
  </si>
  <si>
    <t>Մեղրիի մաքսակետը՝ որպես Հայաստանն Իրանին կապող միակ մաքսակետ, և գտնվելով Հյուսիս-հարավ ճանապարհի վրա, առանձնակի նշանակություն ունի արտաքին տնտեսական գործունեության խթանման և վերահսկելի ուղևորաշրջանառության և բեռնաշրջանառության ապահովման գործում։
Գործող մաքսակետի արդիականացման ու վերակառուցման հիմնախնդիրը ներառվել է ՀՀ կառավարության գործունեության գերակայությունների մեջ՝ դեռևս 2011 թվականից ։
Ծրագրի իրականացումը թույլ կտա՝
ա. լիովին արդիականացնել Մեղրիի մաքսակետը՝ ապահովելով մաքսային հսկողության բարձր մակարդակ ու մատուցվող ծառայությունների պատշաճ որակ,
բ. իրականացնել մաքսակետի շինությունների արդիականացում և տեխնիկական վերազինում՝ ներառյալ ռադիոակտիվ նյութերի հայտնաբերման համակարգեր, ռենտգենային զննման համակարգեր, կշեռքներ, գրասենյակային սարքավորումներ, ծառայողական շներ և այլն: Մաքսակետի վերակառուցման ընթացքում անհրաժեշտ է առաջնորդվել, այդ թվում ԵԱՏՄ օրենսդրությամբ, OSCE - UNECE Լավագույն փորձը սահմանային անցակետերում - Առևտրի և տրանսպորտի խթանման ձեռնարկով (https://www.osce.org/files/f/documents/0/e/99872.pdf):</t>
  </si>
  <si>
    <t>ՊԵԿ իրավապահ ստորաբաժանումների, ինչպես նաև այլ իրավապահ մարմինների հետ փոխգործակցությունը կարգավորող փաստաթղթերի մշակում և հաստատում կամ առկա փաստաթղթերում փոփոխությունների (լրացումների) իրականացում ըստ անհրաժեշտության</t>
  </si>
  <si>
    <t>դ․ մաքսանենգության դեպքերի, դրանց հետևանքների և պատիժների վերաբերյալ իրավական ակտերում փոփոխությունների նախագծերը մշակվել և ներկայացվել են</t>
  </si>
  <si>
    <t>Իրավական ակտերի փոփոխությունների նախագծերը մշակվել և ներկայացվել եմ</t>
  </si>
  <si>
    <t xml:space="preserve">Մաքսային իրավախախտումների համար կիրառվող վարչական պատասխանատվության միջոցների մշտադիտարկում և անհրաժեշտության դեպքում վերանայում </t>
  </si>
  <si>
    <t>ա․ մաքսային իրավախախտումների համար կիրառվող վարչական պատասխանատվության միջոցների մշտադիտարկման իրականացում</t>
  </si>
  <si>
    <t>բ․ մաքսային կանոնների խախտումների, դրանց համար պատասխանատվության ու վարույթների վերաբերյալ դրույթների վերանայում ըստ անհրաժեշտուիթյան՝ վարչարարության արդյունավետության բարձրացման և պատասխանատվության համաչափության ապահովման նպատակով</t>
  </si>
  <si>
    <t>ԱՏԳ սպասարկման կենտրոն (ներ)ի ներդրման համապարփակ ծրագրի մշակում և ծրագրի միջոցառումների իրականացում</t>
  </si>
  <si>
    <t>ԱՏԳ սպասարկման կենտրոն (ներ)ի ներդրման ծրագիրը մշակված է, ծրագրով սահմանված միջոցառումները իրականացված են</t>
  </si>
  <si>
    <t>-</t>
  </si>
  <si>
    <t>Տվյալ միջոցառման համար բյուջեից լրացուցիչ ֆինանսավորում չի պահանջվում</t>
  </si>
  <si>
    <t>Տվյալ միջոցառման համար նախատեսված ֆինանսական հաշվարկի հիմքում ընկած է   տեխնիկական աջակցության/խորհրդատվության միջին շուկայական գինը և 4% գնաճը</t>
  </si>
  <si>
    <t>Տվյալ միջոցառման համար նախատեսված ծախսերը ներառված են 4.1.1 բ  միջոցառման ծախսերի մեջ</t>
  </si>
  <si>
    <t>Տվյալ միջոցառման համար նախատեսված ծախսերը ներառված են 4.1.2 ա  միջոցառման ծախսերի մեջ</t>
  </si>
  <si>
    <t>Տվյալ միջոցառման համար նախատեսված ֆինանսական հաշվարկի հիմքում ընկած է մասնագիտական գնահատման համար նախատեսված տարբեր միջոցառումներն իրականացնելու (թեստեր, հարցումներ) միջին շուկայական գինը և 4% գնաճը</t>
  </si>
  <si>
    <t>Տվյալ միջոցառման համար նախատեսված ֆինանսական հաշվարկի հիմքում ընկած է   տեխնիկական աջակցության/խորհրդատվության միջին շուկայական գինը և 4% գնաճ</t>
  </si>
  <si>
    <t>Տվյալ միջոցառման համար նախատեսված ֆինանսական հաշվարկի հիմքում ընկած է տարեկան 20 աշխատակվի վերապատրաստման գինը (մեկ աշխատակցի հաշվով՝ 60 հազար դրամ) և 4% գնաճը</t>
  </si>
  <si>
    <t>Տվյալ միջոցառման համար նախատեսված ծախսերը ներառված են 4.1.4 դ  միջոցառման ծախսերի մեջ</t>
  </si>
  <si>
    <t xml:space="preserve">ե․ ՀՀ ՊԵԿ առանձին մարդկային ռեսուրսների կառավարման տեղեկատվական նոր համակարգի մշակում։ Դիտարկել համակարգի հնարավոր  համակցումը  քաղաքացիական ծառայության գրասենյակի կողմից ամբողջ հանրային ծառայության համար մշակված և 2020 թվականի հուլիսի 1-ից ներդրված մարդկային ռեսուրսների կառավարման նոր համակարգի հետ։
</t>
  </si>
  <si>
    <t>Տվյալ միջոցառման համար նախատեսված ֆինանսական հաշվարկի հիմքում ընկած է նմանատիպ համակարգերի մշակման միջին շուկայական գինը և 4% գնաճը</t>
  </si>
  <si>
    <t>Տվյալ միջոցառման համար նախատեսված ծախսերը ներառված են 4.2.1 ա  միջոցառման ծախսերի մեջ</t>
  </si>
  <si>
    <t>Տվյալ միջոցառման համար նախատեսված ծախսերը ներառված են 4.2.2 ա  միջոցառման ծախսերի մեջ</t>
  </si>
  <si>
    <t>Տվյալ միջոցառման համար նախատեսված ծախսերը ներառված են 4.2.2 դ  միջոցառման ծախսերի մեջ</t>
  </si>
  <si>
    <t>Տվյալ միջոցառման համար նախատեսված ծախսերը ներառված են 4.2.3 բ  միջոցառման ծախսերի մեջ</t>
  </si>
  <si>
    <t>Տվյալ միջոցառման համար նախատեսված ֆինանսական հաշվարկի հիմքում ընկած է վերապատրաստման ծրագրեր կազմելու համար անհրաժեշտ տեխնիկական աջակցության/խորհդրատվության միջին շուկայական գինը և 4% գնաճը</t>
  </si>
  <si>
    <t>Տվյալ միջոցառման համար նախատեսված ֆինանսական հաշվարկի հիմքում ընկած է 700 աշխատակցի վերապատրաստման արժեքը 2 տարվա ընթացքում</t>
  </si>
  <si>
    <t>Տվյալ միջոցառման համար նախատեսված ծախսերը ներառված են 4.2.5 բ  միջոցառման ծախսերի մեջ</t>
  </si>
  <si>
    <t>Տվյալ միջոցառման համար նախատեսված ֆինանսական հաշվարկի հիմքում ընկած է կոնցեպտի մշակման համար   տեխնիկական աջակցության/խորհրդատվության միջին շուկայական գինը և 4% գնաճը</t>
  </si>
  <si>
    <t>Տվյալ միջոցառման համար նախատեսված ծախսերը ներառված են 4.3.1 ա  միջոցառման ծախսերի մեջ</t>
  </si>
  <si>
    <t>Մաքսային ծառայության մեկ թափուր պաշտոնի համալրման գործընթացը իրականացվում է էլեկտրոնային համակարգի միջոցով</t>
  </si>
  <si>
    <t>Տվյալ միջոցառման համար նախատեսված ֆինանսական հաշվարկի հիմքում ընկած է համապարփակ   տեխնիկական աջակցության/խորհրդատվության միջին շուկայական գինը և 4% գնաճը</t>
  </si>
  <si>
    <t>Տվյալ միջոցառման համար նախատեսված ծախսերը ներառված են 4.3.2 ա  միջոցառման ծախսերի մեջ</t>
  </si>
  <si>
    <t>Տվյալ միջոցառման համար նախատեսված ծախսերը ներառված են 4.3.2 գ  միջոցառման ծախսերի մեջ</t>
  </si>
  <si>
    <t>Տվյալ միջոցառման համար նախատեսված ծախսերը ներառված են 4.3.2 ե միջոցառման ծախսերի մեջ</t>
  </si>
  <si>
    <t>Տվյալ միջոցառման համար նախատեսված ծախսերը ներառված են 4.3.2 ը միջոցառման ծախսերի մեջ</t>
  </si>
  <si>
    <t>Տվյալ միջոցառման համար բյուջեից լրացուցիչ ֆինանսավորում չի պահանջվում, քանի որ ՊԵԿ-ում կադրային ռեզերվը արդեն գործում է</t>
  </si>
  <si>
    <t>Տվյալ միջոցառման համար նախատեսված ֆինանսական հաշվարկի հիմքում ընկած է    տեխնիկական աջակցության/խորհրդատվության միջին շուկայական գինը և 4% գնաճը։ 2025 թվականից հետո վերլուծությունը կիրականացնի ՊԵԿ ՄՌԿ բաժինը</t>
  </si>
  <si>
    <t>Տվյալ միջոցառման համար նախատեսված ֆինանսական հաշվարկի հիմքում ընկած է    տեխնիկական աջակցության/խորհրդատվության միջին շուկայական գինը և 4% գնաճը</t>
  </si>
  <si>
    <t>Տվյալ միջոցառման համար նախատեսված ֆինանսական հաշվարկի հիմքում ընկած է    տեխնիկական աջակցության/խորհրդատվության միջին շուկայական գինը և 4% գնաճը։ 2026 թվականից հետո վերլուծությունը կիրականացնի ՊԵԿ ՄՌԿ բաժինը</t>
  </si>
  <si>
    <t>Տվյալ միջոցառման համար բյուջեից լրացուցիչ ֆինանսավորում չի պահանջվում։</t>
  </si>
  <si>
    <t>Տվյալ միջոցառման համար նախատեսված ֆինանսական հաշվարկի հիմքում ընկած է    տեխնիկական աջակցության/խորհրդատվության միջին շուկայական գինը և 4% գնաճը։</t>
  </si>
  <si>
    <t>Տվյալ միջոցառման համար նախատեսված ծախսերը ներառված են 4.4.1 ա միջոցառման ծախսերի մեջ</t>
  </si>
  <si>
    <t>Տվյալ միջոցառման համար նախատեսված ֆինանսական հաշվարկի հիմքում ընկած է    տեխնիկական աջակցության/խորհրդատվության միջին շուկայական գինը և 4% գնաճը։2025 թվականից հետո միջոցառումը կիրականացնի ՊԵԿ ՄՌԿ բաժինը</t>
  </si>
  <si>
    <t>Տվյալ միջոցառման համար նախատեսված ֆինանսական հաշվարկի հիմքում ընկած է    տեխնիկական աջակցության/խորհրդատվության միջին շուկայական գինը և 4% գնաճը։2026 թվականից հետո միջոցառումը կիրականացնի ՊԵԿ ՄՌԿ բաժինը</t>
  </si>
  <si>
    <t>Տվյալ միջոցառման համար նախատեսված ծախսերը ներառված են 4.4.2 գ միջոցառման ծախսերի մեջ</t>
  </si>
  <si>
    <t xml:space="preserve">է․մոնիթորինգի արդյունքների վերաբերյալ եռամսյակային հաշվետվությունների կազմման (հիմնական կատարողական ցուցանիշների, հիմնական արդյունքների վերաբերյալ) ընթացակարգի կիրառում
</t>
  </si>
  <si>
    <t>Հիմնական կատարողական ցուցանիշների (KPI) և նպատակների և հիմնական արդյունքների (OKR)  համակարգերը ստեղծված են</t>
  </si>
  <si>
    <t>Հիմնական կատարողական ցուցանիշների (KPI) և նպատակների և հիմնական արդյունքների (OKR)  բազան ներդրված է ՊԵԿ ամբողջ աշխատակիցների համար</t>
  </si>
  <si>
    <t>Տվյալ միջոցառման համար նախատեսված ֆինանսական հաշվարկի հիմքում ընկած է նմանատիպ համակարգերի ՀՌՄ ընդհանուր համակարգում ինտեգրման միջին շուկայական գինը և 4% գնաճը</t>
  </si>
  <si>
    <t>Տվյալ միջոցառման համար նախատեսված ծախսերը ներառված են 4.2.1 գ միջոցառման ծախսերի մեջ</t>
  </si>
  <si>
    <t>Տվյալ միջոցառման համար նախատեսված ֆինանսական հաշվարկի հիմքում ընկած է նմանատիպ համակարգերի ինտեգրման միջին շուկայական գինը և 4% գնաճը</t>
  </si>
  <si>
    <t>Տվյալ միջոցառման համար նախատեսված ծախսերը ներառված են 4.4.3 զ միջոցառման ծախսերի մեջ</t>
  </si>
  <si>
    <t>Տվյալ միջոցառման համար նախատեսված ծախսերը ներառված են 4.4.3 ա և բ միջոցառման ծախսերի մեջ</t>
  </si>
  <si>
    <t>Տվյալ միջոցառման համար նախատեսված ֆինանսական հաշվարկի հիմքում ընկած է  համապարփակ  տեխնիկական աջակցության/խորհրդատվության միջին շուկայական գինը և 4% գնաճը։</t>
  </si>
  <si>
    <t>Տվյալ միջոցառման համար նախատեսված ծախսերը ներառված են 4.4.5 ա  միջոցառման ծախսերի մեջ</t>
  </si>
  <si>
    <t>Տվյալ միջոցառման համար նախատեսված ֆինանսական հաշվարկի հիմքում ընկած է  համապարփակ  տեխնիկական աջակցության/խորհրդատվության միջին շուկայական գինը և 4% գնաճը։ 2026 թվականից հետո միջոցառումը պետք է իրականացնի ՊԵԿ ՄՌԿ բաժինը</t>
  </si>
  <si>
    <t xml:space="preserve">բ․ մոնիթորինգի արդյունքների վերաբերյալ եռամսյակային հաշվետվությունների կազմման  ընթացակարգի կիրառում
</t>
  </si>
  <si>
    <t>ա. համապատասխան փոփոխությունների իրականացում «Մաքսային ծառայության մասին» ՀՀ օրենքում և ըստ անհրաժեշտության այլ իրավական ակտերում, այդ թվում՝ կադրերի ընտրության իմպերատիվ բնույթի հստակ չափանիշների սահմանման մասով` ստեղծելով առաջխաղացման հավասար հնարավորություններ՝ անկախ սեռական պատկանելության</t>
  </si>
  <si>
    <t>Տվյալ միջոցառման համար նախատեսված ծախսերը ներառված են 4.5.4 ա  միջոցառման ծախսերի մեջ</t>
  </si>
  <si>
    <t>Տվյալ միջոցառման համար նախատեսված ֆինանսական հաշվարկի հիմքում ընկած է մոնիթորինգ իրականացնող 2 աշխատակիցների տարեկան աշխատավարձը</t>
  </si>
  <si>
    <t>Տվյալ միջոցառման համար նախատեսված ծախսերը ներառված են 4.6.1  ա  միջոցառման ծախսերի մեջ</t>
  </si>
  <si>
    <t>Վերապատրաստումների՝ սահմանված չափանիշներն համապատասխանության ստուգման համակարգը կիրառվում է</t>
  </si>
  <si>
    <t>Տվյալ միջոցառման համար նախատեսված ֆինանսական հաշվարկի հիմքում ընկած է տարեկան 50 վերապատրաստողների պատրաստման դասընթացների միջին շուկայական գինը և 4% գնաճը</t>
  </si>
  <si>
    <t>Տվյալ միջոցառման համար նախատեսված ծախսերը ներառված են 4.4.4   միջոցառման ծախսերի մեջ</t>
  </si>
  <si>
    <t>Տվյալ միջոցառման համար նախատեսված ծախսերը ներառված են 4.2.1 գ և 4.6.1 ա   միջոցառման ծախսերի մեջ</t>
  </si>
  <si>
    <t xml:space="preserve">Տվյալ միջոցառման համար նախատեսված ֆինանսական հաշվարկի հիմքում ընկած է  նմանատիպ համակարգի մշակման միջին շուկայական գինը և 4% գնաճը։ </t>
  </si>
  <si>
    <t>Տվյալ միջոցառման համար նախատեսված ծախսերը ներառված են 4.7.2 ա   միջոցառման ծախսերի մեջ</t>
  </si>
  <si>
    <t xml:space="preserve">Տվյալ միջոցառման համար նախատեսված ֆինանսական հաշվարկի հիմքում ընկած է    տեխնիկական աջակցության/խորհրդատվության միջին շուկայական գինը և 4% գնաճը։ </t>
  </si>
  <si>
    <t>Տվյալ միջոցառման համար նախատեսված ծախսերը ներառված են 4.9.1 ա   միջոցառման ծախսերի մեջ</t>
  </si>
  <si>
    <t>Ֆինանսավորում, հազար ՀՀ դրամ</t>
  </si>
  <si>
    <t>Ընդամենը</t>
  </si>
  <si>
    <t>Ֆինանսական հաշվարկի նկարագրություն</t>
  </si>
  <si>
    <t>Ֆինանսավորման հաշվարկի հիմքում ընկած է նմանաբնույթ աշխատանքների համար իրականացվող խորհրդատվական ծառայությունների միջին շուկայական արժեքը և 4% գնաճը</t>
  </si>
  <si>
    <t>Ֆինանսավորման հաշվարկի հիմքում ընկած է տեխնիկական նկարագրերի մշակման համար պահանջվող խորհրդատվական ծառայությունների միջին շուկայական գինը և տարեկան 4% գմաճը</t>
  </si>
  <si>
    <t>Տվյալ միջոցառման հաշվարկի հիմքում ընկած է հայկական ՏՏ ընկերությունների կողմից նմանատիպ նախագծեր իրականացնելու համար պահանջվող միջին շուկայական արժեքը՝ բաշխված 3 տարվա մեջ և տարեկան 4% գնաճը</t>
  </si>
  <si>
    <t>Տվյալ միջոցառման համար նախատեսված ծախսերը ներառված են 1.1.1 ժ միջոցառման ծախսերի մեջ</t>
  </si>
  <si>
    <t>Կատարման առաջին պատասխանատու/ համակատարող</t>
  </si>
  <si>
    <t>գ․ համակարգերի բարելավման առաջարկների մշակում, այդ թվում՝ տեխնոլոգիական արդիականացումների և ծառայությունների բարելավման և բոլորը մեկում բջջային հավելվածի նախագծման մասով</t>
  </si>
  <si>
    <t>Տվյալ միջոցառման հաշվարկի հիմքում ընկած է արտակարգ և ոչ բնականոն, գորլարված հավանական իրավիճակների վերհանման, մոդելավորման և առաջարկությունների պատրաստման համար անհրաժեշտ տեխնիկական աջակցության միջին շուկայական արժեքը</t>
  </si>
  <si>
    <t>Տվյալ միջոցառման ֆինանսավորման հաշվարկի հիմքում ընկած է մաքսային ծառայության մեկ աշխատողի հաշվարկվող վերապատրաստման արժեքը (30,000 դրամ) և մաքսային ծառայության աշխատակիցների մոտավորեցված քանակը (700)։ Վերապատրաստման արժեքի հիմք վերցված է ՊԵԿ ուսումնական կենտրոնի մատուցված վերապատրաստումների արժեքի մեդիանը: Մինչև 2029 թվականը նախատեսվում է դասընթացը իրականացնել 2 անգամ</t>
  </si>
  <si>
    <t>Տվյալ միջոցառման հիմքում ընկած է վերապատրաստման ծրագրերի մշակման համար անհրաժեշտ տեխնիկական աջակցության միջին շուկայական արժեքը և 4% գնաճը</t>
  </si>
  <si>
    <t>Տվյալ միջոցառման հիմքում ընկած է ՏՏ լուծումներով մոնիտորինգային մեխանիզմի ստեղծման միջին շուկայական արժեքը և 4% գնաճը</t>
  </si>
  <si>
    <t>Տվյալ միջոցառման համար անհրաժեշտ ֆինանսավորման հաշվարկի հիմքում ընկած է տեխնիկական նկարագիր կազմելու համար անհրաժեշտ տեխնիկական աջակցության միջին շուկայական արժեքը և 4% գնաճը</t>
  </si>
  <si>
    <t>Տվյալ միջոցառման անհրաժեշտ ֆինանսավորման հաշվարկի հիմքում ընկած է հայկական ՏՏ ընկերությունների նմանատիպ իրականացված նախագծերի միջին շուկայական արժեքը՝ բաշխված երեք տարվա մեջ և տարեկան 4% գնաճը</t>
  </si>
  <si>
    <t>Տվյալ միջոցառման համար ֆինանսավորման հաշվարկի հիմքում ընկած է տեխնիկական աջակցության/խորհրդատվության միջին շուկայական գինը և 4% գնաճը</t>
  </si>
  <si>
    <t>Համակարգը ներդրվել է և շահագործվում է</t>
  </si>
  <si>
    <t>Տվյալ միջոցառման ֆինանսավորման հաշվարկի հիմքում ընկած է հայկական ՏՏ ընկերությունների կողմից նմանատիպ իրականացված ծրագրերի արժեքը և 4% գնաճը</t>
  </si>
  <si>
    <t>Տվյալ միջոցառման համար նախատեսված ծախսերը ներառված են 1.3.1 ա միջոցառման ծախսերի մեջ</t>
  </si>
  <si>
    <t>Տվյալ միջոցառման համար նախատեսված ծախսերը ներառում են 10 մասնագետ հավաքելու համար ծախսերը և գնաճը։ Մեկ մասնագետ հավաքագրելու ծախսերը գնահատված է 100 հազար դրամ</t>
  </si>
  <si>
    <t>Տվյալ  միջոցառման համար նածատեսված ծախսերի հիմքում ընկած են Մեղրիի մաքսային կետ-բաժնին նմանատիպ կետերի համար արդիականացման աշխատանքների ծախսերը ԱՊՀ տարածքում</t>
  </si>
  <si>
    <t>Տվյալ միջոցառման համար նախատեսված ծախսերը ներառված են 1.3.2 ա միջոցառման ծախսերի մեջ</t>
  </si>
  <si>
    <t>Տվյալ միջոցառման համար նախատեսված ծախսերը ներառված են 1.3.3 ա միջոցառման ծախսերի մեջ</t>
  </si>
  <si>
    <t>Տվյալ միջոցառման համար նախատեսված ծախսերը ներառում են մաքսային հսկողության համար անհրաժեշտ սարքավորումների միջին շուկայական գինը և 4% գնաճը</t>
  </si>
  <si>
    <t>Տվյալ միջոցառման համար ծախսերի հիմքում ընկած են 200 աշխատակցի համար նախատեսված վերապատրաստման ծախսերը և 4% գնաճը</t>
  </si>
  <si>
    <t>Տվյալ միջոցառման համար ծախսերը ներառված են 1.3.3 դ միջոցառման ծախսերի մեջ</t>
  </si>
  <si>
    <t>Տվյալ միջոցառման համար նախատեսված ծախսերը ներառված են 1.3.4 ա միջոցառման ծախսերի մեջ</t>
  </si>
  <si>
    <t>Տվյալ միջոցառման համար նախատեսված ծախսերի հիմքում ընկած է 10 կինոլոգի և 10 անասբանույժ հրահանգիչի վերապատրաստման ծախսերը</t>
  </si>
  <si>
    <t>Տվյալ միջոցառման համար նախատեսված ծախսերը ներառում են տարեկան 5 մասնագետի վերապատրաստման համար անհրաժեշտ ծախսերը</t>
  </si>
  <si>
    <t>Տվյյալ միջոցառման համար նախատեսված ծախսերը ներառում են սարքավորումների և տրանսպորտային միջոցների միջին շուկայական արժեքը</t>
  </si>
  <si>
    <t>Տվյալ միջոցառման համար նախատեսված ծախսերի հիմքում ընկած են ժամանակակից շների բուծման համակարգի ներդրման միջին շուկայական արժեքը</t>
  </si>
  <si>
    <t>Տվյալ միջոցառման համար նախատեսված ծախսերը ներառված են 1.3.5 ե միջովառման ծախսերի մեջ</t>
  </si>
  <si>
    <t>Տվյալ միջոցառման համար նախատեսված ծախսերը ներառված են 1.4.1 ա միջոցառման ծախսերի մեջ</t>
  </si>
  <si>
    <t>Տվյալ միջոցառման համար նախատեսված ֆինանսական հաշվարկի հիմքում ընկած է տեխնիկական աջակցության/խորհրդատվության միջին շուկայական գինը և 4% գնաճը</t>
  </si>
  <si>
    <t>Տվյալ միջոցառման համար նախատեսված ծախսերը ներառված են 1.4.2 գ միջոցառման ծախսերի մեջ</t>
  </si>
  <si>
    <t>Տվյալ միջոցառման համար նախատեսված ծախսերը ներառված են 1.4.3 ա միջոցառման ծախսերի մեջ</t>
  </si>
  <si>
    <t>Տվյալ միջոցառման համար նախատեսված ծախսերը ներառված են 1.4.3 դ միջոցառման ծախսերի մեջ</t>
  </si>
  <si>
    <t>Տվյալ միջոցառման համար նախատեսված ծախսերը կարող են հաշվարկվել գործողությունների ծրագիրը հաստատելուց հետո</t>
  </si>
  <si>
    <t>Տվյա միջոցառման համար նախատեսված ֆինանսական հաշվարկի հիմքում ընկած է իրազեկման ծրագրի մշակման համար ուսումնասիրության միջին արժեքը և 4% գնաճը</t>
  </si>
  <si>
    <t>Տվյալ միջոցառման համար նախատեսված ծախսերը ներառում են հոդվածների, տեսանյութերի, ինֆոգրաֆիայի մշակման համար նախատեսվող միջին ծախսերը, որոնք տարեկան ավելանալու են 10%-ով</t>
  </si>
  <si>
    <t>Տվյալ միջոցառման համար նախատեսված ծախսերը ներառում են տեխնիկական աջակցության/խորհրդատվության գինը և 4% գնաճը</t>
  </si>
  <si>
    <t>Տվյալ միջոցառման համար նախատեսված ֆինանսական հաշվարկի հիմքում ընկած է նմանատիպ մեդիա արշավներ իրականացնելու միջին գինը և 4% գնաճը</t>
  </si>
  <si>
    <t>Տվյալ միջոցառման համար նախատեսված ծախսերի հիմքում ընկած է մեկ աշխատակցի հաշվով դասընթացի կազմակերպման արժեքը և տարեկան 4% գնաճը։ Ծրագրվում է վերապատրաստել ողջ մաքսային ծառայության աշխատակիցներին երեք տարիների ընթացքում</t>
  </si>
  <si>
    <t>Տվյալ միջոցառման նախատեսված ֆինանսական հաշվարկի հիմքում ընկած է միջազգային առևտրի ոլորտում փորձագետի  և/կամ խորհդատվական ընկերության միջին շուկայական գինը նմանատիպ ծառայության համար և տարեկան 4% գնաճը</t>
  </si>
  <si>
    <t>Տվյալ միջոցառման համար նախատեսված ծախսերը ներառված են 2.1.3  ա միջոցառման ծախսերի մեջ</t>
  </si>
  <si>
    <t>Տվյալ միջոցառման համար նախատեսված ֆինանսական հաշվարկի հիմքում ընկած է բիզնես պրոցեսների նկարագրության տեխնիկական աջակցության/խորհրդատվության միջին շուկայական գինը և 4% գնաճը</t>
  </si>
  <si>
    <t>Տվյալ միջոցառման համար նախատեսված ծախսերը ներառված են 2.1.3 է միջոցառման ծախսերի մեջ</t>
  </si>
  <si>
    <t>Տվյալ միջոցառման համար նախատեսված ֆինանսական հաշվարկի հիմքում ընկած է բիզնես պրոցեսների համապարփակ ուսումնասիրության տեխնիկական աջակցության/խորհրդատվության միջին շուկայական գինը և 4% գնաճը</t>
  </si>
  <si>
    <t>Տվյալ միջոցառման համար նախատեսված ֆինանսական հաշվարկի հիմքում ընկած է ն տեխնիկական աջակցության/խորհրդատվության միջին շուկայական գինը և 4% գնաճը</t>
  </si>
  <si>
    <t>Տվյալ միջոցառման համար նախատեսված ծախսերը ներառված են 2.2.1 ա միջոցառման ծախսերի մեջ</t>
  </si>
  <si>
    <t>Մինչև մաքսային հայտարարագրի ներկայացումը դիմումի հիման վրա ապրանքների բացթողնման էլեկտրոնային համակարգի գործարկում</t>
  </si>
  <si>
    <t>Տվյալ միջոցառման համար նախատեսված ֆինանսական հաշվարկի հիմքում ընկած է ն տեխնիկական աջակցության/խորհրդատվության միջին շուկայական գինը և 4% գն</t>
  </si>
  <si>
    <t>Տնտեսավարողներից պահանջվող փաստաթղթերի քանակը կրճատվել է առնվազն 40 տոկոսով</t>
  </si>
  <si>
    <t>Տվյալ միջոցառման համար նախատեսված ծախսերը ներառված են 2.3.2 ա միջոցառման ծախսերի մեջ</t>
  </si>
  <si>
    <t>Տվյալ միջոցառման համար նախատեսված ծախսերը ներառված են 2.4.1 ա միջոցառման ծախսերի մեջ</t>
  </si>
  <si>
    <t>Տվյալ միջոցառման համար նախատեսված ֆինանսական հաշվարկի հիմքում ընկած է տարեկան մեկ ուսումնական այցի միջին գինը և 4% գնաճը</t>
  </si>
  <si>
    <t>Տվյալ միջոցառման համար նախատեսված ծախսերը ներառված են 3.1.1 ա միջոցառման ծախսերի մեջ</t>
  </si>
  <si>
    <t>Տվյալ միջոցառման համար նախատեսված ծախսերը ներառված են 3.1.2 ա միջոցառման ծախսերի մեջ</t>
  </si>
  <si>
    <t>Տվյալ միջոցառման համար նախատեսված ծախսերը ներառված են 3.1.3 ա միջոցառման ծախսերի մեջ</t>
  </si>
  <si>
    <t>Տվյալ միջոցառման համար նախատեսված ծախսերը ներառված են 3.1.3 զ միջոցառման ծախսերի մեջ</t>
  </si>
  <si>
    <t>Տվյալ միջոցառման համար նախատեսված ծախսերը ներառված են 3.1.5 ա միջոցառման ծախսերի մեջ</t>
  </si>
  <si>
    <t>Տվյալ միջոցառման համար նախատեսված ծախսերը ներառված են 3.1.5 ե միջոցառման ծախսերի մեջ</t>
  </si>
  <si>
    <t>Տվյալ միջոցառման համար նախատեսված ծախսերը ներառված են 3.1.7 ե միջոցառման ծախսերի մեջ</t>
  </si>
  <si>
    <t>Տվյալ միջոցառման համար նախատեսված ծախսերը ներառված են 3.2.1 ա միջոցառման ծախսերի մեջ</t>
  </si>
  <si>
    <t>Տվյալ միջոցառման համար նախատեսված ծախսերը ներառված են 3.2.1 գ  միջոցառման ծախսերի մեջ</t>
  </si>
  <si>
    <t>Թվայնացման ենթակա փաստաթղթերի և տվյալների թվայնացման պլանի հաստատում</t>
  </si>
  <si>
    <t>գ․ փաստաթղթերի և տվյալների թվայնացման գործողությունների պլանի կազմում, այդ թվում՝ նախատեսելով թվայնացված տվյալների մշակման, վերլուծության, ռիսկերի կառավարման համակարգում կիրառման, տվյալների բազմալեզու մոդելի կիրառման  հնարավորությունը</t>
  </si>
  <si>
    <t xml:space="preserve">Տվյալ միջոցառման համար նախատեսված ֆինանսական հաշվարկի հիմքում ընկած է փորձի փոխանակման համար հնարավոր նախատեսված այցերը, նյութերի թարգմանությունը </t>
  </si>
  <si>
    <t>Տվյալ միջոցառման համար նախատեսված ծախսերը ներառված են 3.2.2 գ  միջոցառման ծախսերի մեջ</t>
  </si>
  <si>
    <t>Տվյալ միջոցառման համար նախատեսված ծախսերը ներառված են 3.2.2 ը  միջոցառման ծախսերի մեջ</t>
  </si>
  <si>
    <t>Տվյալ միջոցառման համար նախատեսված ծախսերը ներառված են 3.2.3 ա  միջոցառման ծախսերի մեջ</t>
  </si>
  <si>
    <t>Տվյալ միջոցառման համար նախատեսված ծախսերը ներառված են 3.2.3 ե  միջոցառման ծախսերի մեջ</t>
  </si>
  <si>
    <t>Տվյալ միջոցառման համար նախատեսված ծախսերը ներառված են 3.2.4 ա  միջոցառման ծախսերի մեջ</t>
  </si>
  <si>
    <t xml:space="preserve">Ռիսկերի կառավարման համակարգի ինտեգրման գործողությունների պլանը հաստատված է </t>
  </si>
  <si>
    <t>գ․ ռիսկերի կառավարման համակարգի և արտաքին տեղեկատվական աղբյուրների, համակարգերի հետ ինտեգրման գործողությունների պլանի կազմում և հաստատում</t>
  </si>
  <si>
    <t>Տվյալ միջոցառման համար նախատեսված ծախսերը ներառված են 3.2.5 ա  միջոցառման ծախսերի մեջ</t>
  </si>
  <si>
    <t>Տվյալ միջոցառման համար նախատեսված ֆինանսական հաշվարկի հիմքում ընկած է AI և ML միջազգային երկու փորձագետի երկու ամսվա տեխնիկական աջակցության միջին շուկայական գինը և 4% գնաճը</t>
  </si>
  <si>
    <t>Տվյալ միջոցառման համար նախատեսված ծախսերը ներառված են 3.3.1 ա  միջոցառման ծախսերի մեջ</t>
  </si>
  <si>
    <t>Տվյալ միջոցառման համար նախատեսված ծախսերը ներառված են 3.3.2 ա  միջոցառման ծախսերի մեջ</t>
  </si>
  <si>
    <t>Տվյալ միջոցառման համար նախատեսված ֆինանսական հաշվարկի հիմքում ընկած է ՏՏ տեխնիկական աջակցության/խորհրդատվության միջին շուկայական գինը և 4% գնաճը</t>
  </si>
  <si>
    <t>Տվյալ միջոցառման համար նախատեսված ծախսերը ներառված են 3.3.4 բ  միջոցառման ծախսերի մեջ</t>
  </si>
  <si>
    <t>Տվյալ միջոցառման համար նախատեսված ծախսերը ներառված են 3.3.4 ը  միջոցառման ծախսերի մեջ</t>
  </si>
  <si>
    <t>Տվյալ միջոցառման համար նախատեսված ֆինանսական հաշվարկի հիմքում ընկած է  տեխնիկական աջակցության/խորհրդատվության միջին շուկայական գինը և 4% գնաճը</t>
  </si>
  <si>
    <t>Տվյալ միջոցառման համար նախատեսված ծախսերը ներառված են 3.4.2 բ  միջոցառման ծախսերի մեջ</t>
  </si>
  <si>
    <t>Տվյալ միջոցառման համար նախատեսված ծախսերը ներառված են 3.4.2 է  միջոցառման ծախսերի մեջ</t>
  </si>
  <si>
    <t>Տվյալ միջոցառման համար նախատեսված ծախսերը ներառված են 3.4.3 ա  միջոցառման ծախսերի մեջ</t>
  </si>
  <si>
    <t>Տվյալ միջոցառման համար նախատեսված ծախսերը ներառված են 3.4.3 դ  միջոցառման ծախսերի մեջ</t>
  </si>
  <si>
    <t>Տվյալ միջոցառման համար նախատեսված ծախսերը ներառված են 3.4.4 ա  միջոցառման ծախսերի մեջ</t>
  </si>
  <si>
    <t>Տվյալ միջոցառման համար նախատեսված ֆինանսական հաշվարկի հիմքում ընկած է ՏՏ ընկերությունների կողմից նմանատիպ ծրագրային ապահովում իրականացնելու միջին շուկայական գինը և 4% գնաճը</t>
  </si>
  <si>
    <t>Տվյալ միջոցառման համար նախատեսված ֆինանսական հաշվարկի հիմքում ընկած է ՏՏ  տեխնիկական աջակցության/խորհրդատվության միջին շուկայական գինը և 4% գնաճը</t>
  </si>
  <si>
    <t>1.2.3</t>
  </si>
  <si>
    <t>1.5.5</t>
  </si>
  <si>
    <t>1.5.7</t>
  </si>
  <si>
    <t>1.6.3</t>
  </si>
  <si>
    <t>2.1.7</t>
  </si>
  <si>
    <t>2.2.2</t>
  </si>
  <si>
    <t>2․4․2</t>
  </si>
  <si>
    <t>2.4.3</t>
  </si>
  <si>
    <t xml:space="preserve"> 4.6․1</t>
  </si>
  <si>
    <t xml:space="preserve"> 4.6․2</t>
  </si>
  <si>
    <t xml:space="preserve"> 4.6․3</t>
  </si>
  <si>
    <t xml:space="preserve"> 4.6․4</t>
  </si>
  <si>
    <t xml:space="preserve"> 4.6․7</t>
  </si>
  <si>
    <t>Տվյալ միջոցառման համար նախատեսված ծախսերը ներառված են 1.1.3 ա միջոցառման ծախսերի մեջ</t>
  </si>
  <si>
    <t>Տվյալ միջոցառման համար նախատեսված ծախսերը ներառված են 1.1.5 ե միջոցառման ծախսերի մեջ</t>
  </si>
  <si>
    <t>Տվյալ միջոցառման համար նախատեսված ծախսերը ներառված են 1.2.2 է միջոցառման ծախսերի մեջ</t>
  </si>
  <si>
    <t>Տվյալ միջոցառման համար նախատեսված ծախսերը ներառված են 1.2.3 զ միջոցառման ծախսերի մեջ</t>
  </si>
  <si>
    <t>Տվյալ միջոցառման համար նախատեսված ծախսերը ներառված են  1.2.4 բ միջոցառման ծախսերի մեջ</t>
  </si>
  <si>
    <t>Տվյալ միջոցառման համար նախատեսված ծախսերը ներառված են 1.2.5 ա միջոցառման ծախսերի մեջ</t>
  </si>
  <si>
    <t>Տվյալ միջոցառման համար նախատեսված ծախսերը ներառված են 1.4.4 ա միջոցառման ծախսերի մեջ</t>
  </si>
  <si>
    <t>Տվյալ միջոցառման համար նախատեսված ծախսերը ներառված են 1.4.4 դ  միջոցառման ծախսերի մեջ</t>
  </si>
  <si>
    <t xml:space="preserve">Տվյալ միջոցառման համար նախատեսված ծախսերը ներառված են 1.5.3 ա միջոցառման ծրագրերի մեջ </t>
  </si>
  <si>
    <t>Տվյալ միջոցառման համար նախատեսված ծախսերը ներառված են 1.5.4 դ միջոցառման ծախսերի մեջ</t>
  </si>
  <si>
    <t xml:space="preserve">Տվյալ միջոցառման համար նախատեսված ծախսերը ներառված են 1.5.5 գ միջոցառման ծախսերի մեջ </t>
  </si>
  <si>
    <t>Տվյալ միջոցառման համար նախատեսված ծախսերը ներառված են 2.1.2 ա միջոցառման ծախսերի մեջ</t>
  </si>
  <si>
    <t>Տվյալ միջոցառման համար նախատեսված ծախսերը ներառված են 2.1.4 ա միջոցառման ծախսերի մեջ</t>
  </si>
  <si>
    <t>Տվյալ միջոցառման համար նախատեսված ծախսերը ներառված են 2.1.2 դ միջոցառման ծախսերի մեջ</t>
  </si>
  <si>
    <t>Տվյալ միջոցառման համար նախատեսված ծախսերը ներառված են 2.1.4 դ միջոցառման ծախսերի մեջ</t>
  </si>
  <si>
    <t>Տվյալ միջոցառման համար նախատեսված ծախսերը ներառված են 2.1.5 բ միջոցառման ծախսերի մեջ</t>
  </si>
  <si>
    <t>Տվյալ միջոցառման համար նախատեսված ծախսերը ներառված են 2.1.6 ա միջոցառման ծախսերի մեջ</t>
  </si>
  <si>
    <t>Տվյալ միջոցառման համար նախատեսված ծախսերը ներառված են 2.2.2 ա միջոցառման ծախսերի մեջ</t>
  </si>
  <si>
    <t>Տվյալ միջոցառման համար նախատեսված ծախսերը ներառված են 2.2.5 ը միջոցառման ծախսերի մեջ</t>
  </si>
  <si>
    <t>Տվյալ միջոցառման համար նախատեսված ծախսերը ներառված են 2.4.2 ա միջոցառման ծախսերի մեջ</t>
  </si>
  <si>
    <t>Տվյալ միջոցառման համար նախատեսված ծախսերը ներառված են 3.4.1 ե  միջոցառման ծախսերի մեջ</t>
  </si>
  <si>
    <t>զ. API և PNR համակարգերի՝ մաքսային մարմնի տեղեկատվական համակարգերի հետ ինտեգրման համար տեխնիկական առաջադրանքի ներկայացում ՊԵԿ էլեկտրոնային կառավարման համակարգի զարգացման և կատարելագործման խորհրդին</t>
  </si>
  <si>
    <t>գ․ մաքսային ծառայողների էթիկական կանոնների սահմանման շրջանակներում նախատեսել ԱՏԳ մասնակիցների հետ փոխազդեցության ժամանակ գենդերային հավասարության ապահովման պահանջներ, ըստ անհրաժեշտության, նախատեսել գենդերային զգայունության վերաբերյալ դասընթացներ</t>
  </si>
  <si>
    <t>դ․ սահմանված ուղեցույցների պահպանման մոնիթորինգային մեխանիզմի մշակում, որը կարող է ներառել կանոնավոր գնահատման մոդելներ, հետադարձ կապի մեխանիզմներ և տեղում ստուգումների իրականացում</t>
  </si>
  <si>
    <t>ե․  էթիկայի կանոնների խախտման վերաբերյալ հաշվետվությունների մշակման մեխանիզմի սահմանում՝ ապահովելով գաղտնիություն և պաշտպանություն նրանց համար, ովքեր զեկուցում են սխալ վարքագծի մասին</t>
  </si>
  <si>
    <t>զ․ էթիկական, կարգապահական կանոնների խախտման դեպքերի արձանագրության և համապատասխան արձագանքման մեխանիզմի մշակում՝ ապահովելով գործընթացի արդարությունն ու թափանցիկությունը</t>
  </si>
  <si>
    <t>ա․ առկա ֆիզիկական ենթակառուցվածքների և թվային հարթակների մատչելիության ուսումնասիրություն՝ բարելավման ենթակա ենթակառուցվածքների, համակարգերի գույքագրման նպատակով</t>
  </si>
  <si>
    <t>բ․  ֆիզիկական և թվային միջավայրերի հասանելիության չափանիշների սահմանում</t>
  </si>
  <si>
    <t>գ․ ֆիզիկական հարմարությունները և թվային ծառայությունները վերակառուցելու, փոփոխելու աշխատանքների իրականացում՝ համապատասխանելով դրանք մատչելիության պահանջներին, օրինակ՝ թեքահարթակների, շոշափելի նշանների, հասանելի կայքերի և օժանդակ տեխնոլոգիաների հասանելություն</t>
  </si>
  <si>
    <t>դ․  մոնիտորինգի և հետադարձ կապի ապահովում՝ նախատեսելով շարունակական բարելավում և նոր ներդրվող ենթակառուցվածքների, համակարգերի համապատասխանությունը սահմանված պահանջներին</t>
  </si>
  <si>
    <t>Ներկայումս ԱՏԳ իրականացմանն առնչվող ենթակառուցվածքների որոշ տարրեր հարմարեցված են հաշմանդամություն ունեցող անձանց կողմից օգտագործելու համար, օրինակ՝ որոշ ֆիզիկական ենթակառուցվածքներ և ՀՀ ՊԵԿ պաշտոնական կայքը, որն առաջարկում է տեքստը մեծացնելու հնարավորություն՝ ավելի լավ տեսանելիության համար: Այնուամենայնիվ, ոչ բոլոր էլեկտրոնային ծառայություններն ունեն մատչելիության նման տարբերակներ, և ֆիզիկական ենթակառուցվածքի մի մասը մնում է դժվար հասանելի հաշմանդամություն ունեցող անձանց համար: Ընդունելով ներառականության կարևորությունը և բոլոր քաղաքացիներին հավասար ծառայություններ մատուցելու անհրաժեշտությունը՝ մաքսային վարչակազմը արտացոլում է իր նվիրվածությունը ծառայությունների որակի բարելավմանը և երաշխավորում է, որ բոլոր անհատները, անկախ իրենց կարողություններից, ստանան իրենց արժանի ծառայություններն ու հասանելիությունը:</t>
  </si>
  <si>
    <t>Հաշմանդամություն ունեցող անձանց համար ենթակառուցվածքների հասանելության սահմանված չափանիշներ</t>
  </si>
  <si>
    <t>Մաքսային ենթակառուցվածնքերը (ֆիզիկական և թվային) համապատասխանում են սահմանված չափանիշներին</t>
  </si>
  <si>
    <t>բ․ հետազոտության արդյունքների հիման վրա ԱՏԳ մասնակիցների սեգմենտավորում՝ հիմնվելով նրանց կարիքների, վարքագծի և նախասիրությունների վրա: Յուրաքանչյուր հատվածի համար  նպատակային հաղորդակցման ռազմավարությունների մշակում:</t>
  </si>
  <si>
    <t>գ․ մաքսային պաշտոնյաների համար վարքագծային պատկերացումների և արդյունավետ հաղորդակցման ռազմավարությունների վերաբերյալ ուսուցման կազմակերպում՝ ապահովելու նրանց արդյունավետորեն համագործակցությունը ԱՏԳ մասնակիցների հետ:</t>
  </si>
  <si>
    <t>Մաքսային մարմնի և ԱՏԳ մասնակիցների միջև հաղորդակցության արդյունավետությունը բարձրացնելու համար կիրառել վարքագծի պատկերացումների կիրառություն</t>
  </si>
  <si>
    <t>դ․ ԱՏԳ-ի մասնակիցների կողմից  հետադարձ կապի ապահովում՝ շարունակաբար կատարելագործելու և հարմարեցնելու հաղորդակցման ռազմավարությունները՝ հիմնված իրական դեպքերի արդյունավետության և մասնակիցների բավարարվածության վրա:</t>
  </si>
  <si>
    <t>Մաքսային մարմնի և ԱՏԳ մասնակիցների միջև հաղորդակցության ներկայիս ռազմավարությունը ավանդական է և հատուկ հարմարեցված չէ լսարանի տարբեր կարիքներին և վարքագծին: Նման մոտեցումը կարող է երբեմն հանգեցնել թյուրիմացությունների, համապատասխանության խնդիրների և ԱՏԳ մասնակիցների չբավարարված կարիքների:</t>
  </si>
  <si>
    <t>30.09.2026թ․ շարունակական</t>
  </si>
  <si>
    <t>1.5.6</t>
  </si>
  <si>
    <t xml:space="preserve">Տվյալ միջոցառման համար նախատեսված ծախսերը ներառված են 1.5.6 ա միջոցառման ծախսերի մեջ </t>
  </si>
  <si>
    <t>Տվյյալ միջոցառման համար նախատեսված ծախսերը ներառում են ենթակառուցվածքների փոփոխության արժեքները (1.5.6 ա և բ գործողությունների իրականացման արդյունքում հնարավոր է ներկայացված արժեքը վերահաշվարկի անհրաժեշտություն ունենա)</t>
  </si>
  <si>
    <t>ա․ ԱՏԳ մասնակիցների վարքագծային հետազոտության իրականացում՝ հավաքագրելով  տվյալներ հաղորդակցման ներկա մեթոդների և դրանց արդյունավետության մասին՝ բացահայտելով, թե ինչպես են ԱՏԳ մասնակիցները փոխազդում, ընկալու մաքսային գործընթացները և որտեղ են առաջանում թյուրիմացություններ կամ համապատասխանության հետ կապված խնդիրներ:</t>
  </si>
  <si>
    <t xml:space="preserve">Տվյալ միջոցառման համար նախատեսված ծախսերը ներառված են 1.5.7 ա միջոցառման ծախսերի մեջ </t>
  </si>
  <si>
    <t>Համապատասխանության մակարդակի բարելավում, թյուրիմացությունների նվազեցում և մաքսային գործընթացի դյուրացում ԱՏԳ իրականացնող խմբերի համար</t>
  </si>
  <si>
    <t>Համապատասխան հետազոտությունները իրականացված են, արդյունքները ուսումնասիրված են, գործիքակազմը կիրառվում է</t>
  </si>
  <si>
    <t xml:space="preserve">«Թույլատվական փաստաթղթեր» համակարգի ներդրման արդյունավետության գնահատում, վերջնական գործարկմանը խոչընդոտող խնդիրների վերհանում, այդ թվում՝ օգտվողների լայն շրջանակների հետադարձ կապի հիման վրա, և դրանց լուծման ուղղությամբ աշխատանքների նախաձեռնում թույլատվական փաստաթղթերի տրամադրման միասնական կարգավորումների հնարավորությունների ուսումնասիրություն և առաջարկների ներկայացում
</t>
  </si>
  <si>
    <t>Մաքսային ծառայության թափուր պաշտոների համալրման ընթացակարգերի վերանայում և արդիականացում՝ մաքսային մարմինը որակյալ, բանիմաց կադրերով համալրում</t>
  </si>
  <si>
    <t xml:space="preserve">Մաքսային ծառայողների կոմպետենցիաների դասակարգման և տիրապետման մակարդակների համակարգի ներդրում
</t>
  </si>
  <si>
    <t xml:space="preserve">Մաքսային ծառայության բոլոր պաշտոնների գործառույթների իրականացումը բնութագրող հիմնական կատարողական ցուցանիշների (KPI), նպատակների և հիմնական արդյունքների (OKR)  համակարգերի մշակում և ներդրում՝ ապահովելով կապը մաքսային ռազմավարության նպատակների հետ
</t>
  </si>
  <si>
    <t>Մաքսային ծառայողների կատարողականի գնահատման ընթացակարգի արդիականացում, կատարողականի գնահատման նոր մեխանիզմերի մշակում և ներդրում</t>
  </si>
  <si>
    <t>Եռամսյակային պարբերականությամբ համակարգի գործունեության ուսումնասիրություն և մոնիթորինգի իրականացում։ Մոնիթորինգի արդյունքներով հաշվետվությունների կազմում ՝ համակարգում տեղ գտած խնդիրների բացահայտման և դրանց հնարավոր լուծումներ տալու առաջարկությունների վերաբերյալ։</t>
  </si>
  <si>
    <t>Մաքսային ծառայողների տվյալների հավաքագրման և վերլուծության գործընթացի իրականացման մեթոդաբանության մշակում և ներդրում</t>
  </si>
  <si>
    <t xml:space="preserve">Մշակել աշխատավայրի ռիսկերի գնահատման մեթոդաբանություն՝ տեղայնացնելով ԵՄ-ի “Աշխատանքի ընթացքում աշխատողների անվտանգության և առողջության բարելավումը խրախուսող միջոցառումների ներդրման մասին» Շրջանակային դիրեկտիվի համապատասխան դրույթները </t>
  </si>
  <si>
    <t>Սպասվող բեռների մասին նախնական տեղեկատվության համակարգի լրամշակում և արդյունավետ օգտագործում` ապահովելով ապրանքների և տրանսպորտային միջոցների մաքսային հսկողության արդյունավետության բարձրացում</t>
  </si>
  <si>
    <t>ա. Սպասվող բեռների մասին նախնական տեղեկատվության համակարգի լրամշակման տեխնիկական նկարագրերի կազմում</t>
  </si>
  <si>
    <t xml:space="preserve">Նախնական տեղեկատվության մշակման համակարգը ՀՄԿ Անվտանգության շրջանակային ստանդարտների (Safe framework of standards https://www.wcoomd.org/-/media/wco/public/global/pdf/topics/facilitation/instruments-and-tools/tools/safe-package/safe-framework-of-standards.pdf) հիմնական տարրերից է։ Նախատեսվում է լրամշակել «Սպասվող բեռների մասին նախնական տեղեկատվության» համակարգը։ </t>
  </si>
  <si>
    <t>Սպասվող բեռների մասին նախնական տեղեկատվության համակարգը լրամշակված է</t>
  </si>
  <si>
    <t>ՊԵԿ կայք էջում մատչելի կերպով հասանելի դարձնել Եվրասիական տնտեսական միության արտաքին տնտեսական գործունեության միասնական ապրանքային անվանացանկը և դրա պարզաբանումները</t>
  </si>
  <si>
    <t>ՊԵԿ կայք էջում առանձին պատուհանով  դասակարգման, մաքսային արժեքի որոշման մեթոդաբանության և ապրանքների ծագման որոշման, մաքսատուրքերի, հարկերի և օրենքով սահմանված կարգով այլ վճարների հաշվարկման ընթացակարգերի վերաբերյալ  տեղեկատվության ներկայացում, այդ թվում՝ օտար լեզուներով, տեղադրելով համապատասխան հղումներ ընթացակարգերը սահմանող իրավական ակտերի վերաբերյալ</t>
  </si>
  <si>
    <t>ե․ մոնիթորինգի մեխանիզմի ներդրում</t>
  </si>
  <si>
    <t xml:space="preserve">ա․ համապատասխան հարթակների նույնականացում (օրինակ՝  սոցիալական ցանցեր, կայք, զանգերի կենտրոն, chatbot), որոնց միջոցով նախատեսվում է ապահովել հանրային և արտաքին տնտեսական գործունեության մասնակիցների հետադարձ կապի հավաքագրում </t>
  </si>
  <si>
    <t>բ․ վերհանված խնդիրների լուծման նպատակով համապատասխան առաջարկների մշակում և հետագա ընթացքի ապահովում</t>
  </si>
  <si>
    <t>Հետբացթողումային հսկողության համակարգի ամբողջական կայացումը ենթադրում է ինչպես գործարքի վրա հիմնված հսկողական աշխատանքների իրականացում, այնպես էլ ընկերությունների համակարգի նկատմամբ հսկողություն, որը հնարավորություն է տալիս իրականացնել ընկերության առևտրային ամբողջ շղթայի ուսումնասիրություն, ռիսկային կողմերի վերհանում և օրինապահության մակարդակի բարձրացում։ Համակարգային ստուգումների արդյունավետ իրականացումը ենթադրում է տեղեկատվության հավաքագրման նպատակով հարցաշարերի մշակման, դրանց միջոցով հավաքագրված տեղեկատվության վերլուծության, ամփոփման, անհրաժեշտ միջոցառումների ձեռնարկման, ընկերության համապատասխան բիզնես գործընթացների բարելավման և դրանց նկատմամբ հսկողության և հետադարձ կապի ապահովման  ընթացակարգեր։ 
Հաշվի առնելով մինչ այժմ համակարգային ստուգումների իրականացման փորձի բացակայությունը՝ թեմայի վերաբերյալ տեխնիկական աջակցության  ծրագրերի իրականացումը միջազգային համագործակցության շրջանակներում էականորեն կնպաստի համակարգի արդյունավետ ներդրմանը ՀՄԿ և ԱՀԿ ուղեցույցներին համապատասխան։</t>
  </si>
  <si>
    <t xml:space="preserve">Հետբացթողումային հսկողության համակարգի ամբողջական կայացումը ենթադրում է ինչպես գործարքի վրա հիմնված հսկողական աշխատանքների իրականացում, այնպես էլ ընկերությունների համակարգի նկատմամբ հսկողություն, որը հնարավորություն է տալիս իրականացնել ընկերության առևտրային ամբողջ շղթայի ուսումնասիրություն, ռիսկային կողմերի վերհանում և օրինապահության մակարդակի բարձրացում։ Համակարգային ստուգումների արդյունավետ իրականացումը ենթադրում է տեղեկատվության հավաքագրման նպատակով հարցաշարերի մշակման, դրանց միջոցով հավաքագրված տեղեկատվության վերլուծության, ամփոփման, անհրաժեշտ միջոցառումների ձեռնարկման, ընկերության համապատասխան բիզնես գործընթացների բարելավման և դրանց նկատմամբ հսկողության և հետադարձ կապի ապահովման  ընթացակարգեր։ 
Հաշվի առնելով մինչ այժմ համակարգային ստուգումների իրականացման փորձի բացակայությունը՝ թեմայի վերաբերյալ տեխնիկական աջակցության  ծրագրերի իրականացումը միջազգային համագործակցության շրջանակներում էականորեն կնպաստի համակարգի արդյունավետ ներդրմանը ՀՄԿ և ԱՀԿ ուղեցույցներին համապատասխան (https://www.wcoomd.org/en/topics/enforcement-and-compliance/instruments-and-tools/guidelines/pca-guidelines.aspx):
</t>
  </si>
  <si>
    <t>Մաքսային ծառայողի վարքագծի կանոնների նոր քաղաքականության մշակում</t>
  </si>
  <si>
    <t>ե․ մշակել տաղանդների ձեռքբերման կառավարման՝ որպես գործընթացի հիմնակյան քայլերը՝ մաքսային ծառայության նպատակներին առավել համապատասխանող ուժեղ թիմ ձևավորելու համար։</t>
  </si>
  <si>
    <t>ե մաքսային ծառայության թափուր պաշտոն զբաղեցնելու համար մրցույթի անցկացման կարգի բարելավում և հաստատում։ Կարգով պետք է սահմանվեն մրցույթի անցկացման փուլերը, ենթափուլերը, անցկացման եղանակը (առցանց, դեմ առ դեմ), հերթական քայլերը, մրցույթի անցկացման համար պատասխանատու ստորաբաժանումը և նկարագրությունը։</t>
  </si>
  <si>
    <t>գ. առաջարկությունները պետք է վերաբերեն նաև գնահատվողի կողմից իր գնահատականի վերաբերյալ կարծիք հայտնելու հնարավորության ընձեռմանը</t>
  </si>
  <si>
    <t xml:space="preserve">ա. մաքսային ծառայողների պատրաստման դասընթացների մասնակցության համար ընդունելության կարգի վերանայում: 
</t>
  </si>
  <si>
    <t xml:space="preserve">Անհրաժեշտություն է առաջացել բարելավել «Ուսումնական կենտրոն» ՊՈԱԿ-ի կողմիցմաքսային ծառայողի պատրաստման նպատակով  իրականացվող դասընթացների որակը` վերանայելով և լրամշակելով օրենսդրական հիմքերը: Ներկայումս բացակայում է մասնագետների պատրաստման միջազգային փորձի բավարար ուսումնասիրությունը և  ըստ գործառույթների  մաքսային ծառայողներից պահանջվող գիտելիքները, կարողությունները  և հմտությունները նկարագրող շրջանակը: Անհրաժեշտ է  մշակել միջազգային չափանիշներին համապատասխան մաքսային ծառայողների ընդունելության համար անհրաժեշտ թեստավորման նոր համակարգ: 
</t>
  </si>
  <si>
    <t>Մաքսային ծառայողի պատրաստման գործընթացն
ապահովող ենթաօրենսդրական
ակտերը մշակված են:</t>
  </si>
  <si>
    <t>Փոփոխությունները հաստատված են ՀՀ ՊԵԿ նախագահի համապատասխան   իրավական ակտով` հրաման:</t>
  </si>
  <si>
    <t>Տվյալ միջոցառման համար ֆինանսական միջոցներ նախատեսված չեն</t>
  </si>
  <si>
    <t xml:space="preserve">գ. Մաքսային ծառայողների պատրաստման և ընդունելության համար անհրաժեշտ թեստավորման նոր համակարգի մշակում:
</t>
  </si>
  <si>
    <t xml:space="preserve">Մարդկային ռեսուրսների կառավարման վարչության և «Ուսումնական կենտրոն» ՊՈԱԿ-ի  գործառույթների հստակեցում, կանոնադրությունների լրամշակում:
</t>
  </si>
  <si>
    <t xml:space="preserve">բ. Մշակել Մարդկային ռեսուրսների կառավարման վարչության և ՊԵԿ «Ուսումնական կենտրոն»-ի  կազմակերպչական կառուցվածքները՝ համապատասխանեցնելով կանոնադրությամբ ամրագրված գործառույթներին:
</t>
  </si>
  <si>
    <t xml:space="preserve"> ա. Փոխշահավետ  գործընկեր հանդիսացող  կազմակերպությունների բացահայտում և ցուցակագրում` ըստ  ակնկալվող նպատակների:</t>
  </si>
  <si>
    <t>Ուսումնական կենտրոնը  մասնագետներեի ներգրավման հարցում  չունի հստակ համագործակցության մշակված գործիքակազմ,: Անհրաժեշտություն է առաջացել ընդլայնել տարբեր կազմակերպությունների` ուսումնական հաստատություններ, վերապատրաստող կազմակերպությունների և մասնավոր հատվածի հետ փոխշահավետ համագործակցություն`  շահառուների ցանկը ընդլայնելու, նորարարություններին արձագանքելու համար։ Համագործակցելով տարբեր կազմակերպությունների հետ հնարավորություն կստեղծվի ձևավորել  տաղանդների ներգրավման  գործընթաց:</t>
  </si>
  <si>
    <t xml:space="preserve">Վերապատրաստումների՝ սահմանված չափանիշներին համապատասխանության ստուգման համակարգը ներդրված է </t>
  </si>
  <si>
    <t xml:space="preserve">բ.Համագործակցության և գործընկերության համաձայնագրերի հաստատում`  նախանշելով կողմերի դերերն ու պարտականությունները , ակնկալվող արդյունքները:
</t>
  </si>
  <si>
    <t>գ. Ներքին և արտաքին շահառուների համար  համագործակցության գործունեության ու արդյունքների մասին իրազեկման ապահովում` տարբեր ուղիներով, ինչպիսիք են տեղեկագրերը, սոցիալական լրատվամիջոցները:</t>
  </si>
  <si>
    <t xml:space="preserve">գ.Համագործակցության արդյունքներով մշակել և իրականացնել տաղանդների հավաքագրման, ներգրավման գործընթաց:
</t>
  </si>
  <si>
    <t xml:space="preserve">Վերապատրաստողների  գիտելիքների և դասավանդման ունակությունների զարգացում
</t>
  </si>
  <si>
    <t>Կրթական ծրագրերի կատարելագործման նպատակով  Ուսումնական կենտրոնը իրականացնում  է դասընթացներ դասընթացավարների համար, կազմակերպվում է տարբեր թեմաներով վերապատրաստումներ դասընթացավարների համար և ներգրավվում բարձր որակավորում ունեցող նոր դասընթացավարների: 
Արդեն իսկ  սկսվել են դասավանդման մեթոդների  արդիականցման գործընթացները: Փոխել ու փոխվում են այն մոտեցումները, որոնք չեն արտացոլում դասավանդման  նկատմամբ ներկայիս պահանջները։</t>
  </si>
  <si>
    <t>Վերապատրաստողների  գիտելիքների և դասավանդման ունակությունների զարգացման ծրագրով վերապատրաստման դասընթացները իրականացվում են</t>
  </si>
  <si>
    <t xml:space="preserve">Միջազգային փորձի ուսումնասիրություն, վերապատրաստման միջազգայնորեն սերտիֆիկացված  դասընթացների տեղայնացում
</t>
  </si>
  <si>
    <t xml:space="preserve">ա․ մասնավորապես ուսումնասիրել և տեղայնացնել ԵՄ մաքսային Կոմպետենցիաների շրջանակը (EU Customs CFW), ինչպես նաև CliKC (Customs Learning &amp; Knowledge Community) ուսուցման հարթակում տեղադրված էլեկտրոնային ուսուցման դասընթացները 
</t>
  </si>
  <si>
    <t xml:space="preserve">բ․  էլեկտրոնային ուսուցման դասընթացները օգտագործել   վերապատրաստման ծրագրերի կազմման ժամանակ 
</t>
  </si>
  <si>
    <t xml:space="preserve">Հեռավար ուսուցման e-learning հարթակի ստեղծում և ներդնում  
</t>
  </si>
  <si>
    <t xml:space="preserve">ա. Հեռավար ուսուցման կազմակերպման և իրականացման կանոնակարգի մշակում, իրավական հենքի ապահովում 
</t>
  </si>
  <si>
    <t xml:space="preserve">Ուսումնական կենտրոնի համար կարևոր առաջնայնություն է E-leraning հարթակի  պատրաստումը։ E-leraning հարթակը կընդլայնի նաև հատուկ կարիքներ ունեցող մաքսային ծառայողների համար վերապատրաստման դասընթացների հասանելիությունը և դասընթացներին մասնակցելու հնարավորությունները։ </t>
  </si>
  <si>
    <t xml:space="preserve"> e-learning հարթակը ներդրված է</t>
  </si>
  <si>
    <t xml:space="preserve">բ. Ուսուցման Էլեկտրոնային հարթակի ստեղծում 
</t>
  </si>
  <si>
    <t xml:space="preserve">գ. Հեռավար ուսուցման գործընթացի ապահովում, օգտագործման ուղեցույցների մշակում և  հարթակի օգտատերերի համար նախատեսված էլեկտրոնային ուղեցույցների հրապարակում և թղթային տեղեկատվական թռուցիկների տպագրություն </t>
  </si>
  <si>
    <t xml:space="preserve">դ. E-learning հարթակի օգտատերերի համար ուսուցողական միջոցառումների կազմակերպում 
</t>
  </si>
  <si>
    <t xml:space="preserve">ա.Մշակել դասընթացավարների ընտրության հստակ և չափելի չափանիշներ:
</t>
  </si>
  <si>
    <t>Դասընթացավարների և դասընթացների որակի շարունակական բարելավման  համակարգ ներդրված չէ, ուստի անհրաժեշտ է մշակել ու կիրառել որակի բարելավմանը միտված համակարգ, որը կապահովի դասընթացների և դասընթացավարների  գնահատման մեխանիզմներ և հստակ չափանիշներ:</t>
  </si>
  <si>
    <t>Դասընթացավարների և դասընթացների որակի բարելաման համակարգը  ներդրված է</t>
  </si>
  <si>
    <t>Դասընթացավարների և դասընթացների որակի բարելավման մեթոդաբանությունը` հստակ  ցուցանիշները սահմանված են</t>
  </si>
  <si>
    <t xml:space="preserve">բ. Դասընթացների և մոդուլների  որակի շարունակական բարելավման մեխանիզմների մշակում:
</t>
  </si>
  <si>
    <t xml:space="preserve">գ. Մշակել դասընթացների որակը գնահատելու մեթոդաբանություն` ուսումնառողների կողմից հետադարձ կապի հնարավորության ապահովմամբ:
</t>
  </si>
  <si>
    <t>4․7․1</t>
  </si>
  <si>
    <t xml:space="preserve"> 4.7.3</t>
  </si>
  <si>
    <t>ա․ ՊԵԿ ծառայողների առողջության և աշխատանքի անվտանգության և պահպանման ներքին կանոնակարգի մշակում, որտեղ պետք է առանձնացնել հատուկ կարիքներ ունեցող աշխատակիցներին վերաբող օժանդակ միոցառումները</t>
  </si>
  <si>
    <t>ԱՀԿ առևտրի դյուրացման համաձայնագրով նախատեսված պարտավորությունների կատարում․ ինչպես նաև անդրսահմանային ընթացակարգերի պարզեցում ու թափանցիկության բարձրացում</t>
  </si>
  <si>
    <t>Նախաձեռնել ԱՏԳ մատչելի ծառայությունների զարգացումը հաշմանդամություն ունեցող անձանց համար: Սա ներառում է մաքսային մարմինների ենթակառուցվածքների հարմարեցումը առանձնահատուկ պայմանների կարիք ունեցող, ինչպես նաև թվային հարթակների և փաստաթղթերի հարմարեցումը, որպեսզի դրանք հասանելի լինեն տարբեր տեսակի առանձնահատկություն ունեցող անձանց համար</t>
  </si>
  <si>
    <t>Ներդրված է բարեվարքության խթանման վերանայված ծրագիր։ Կոռուպցիայի կանխարգելման մեխծանիզմները կատարելագործված են։ էթիկայի կանոնների պահպանման նկատմամբ մոնիթորինգի իրականացման մեխանիզմները մշակված են։</t>
  </si>
  <si>
    <t>Մարդկային ռեսուրսների շարժի արդյունավետ կառավարում</t>
  </si>
  <si>
    <t>բ․ մաքսային ծառայողների հոսունության մեխանիզմների միջազգային փորձի ուսումնասիրություն, գործուն մեխանիզմների ներդրման հնարավորությունների բացահայտում, աշխատանքից դուրս գալու ցանկություն ունեցող  մաքսային ծառայողի հետ «ելքի զրույցի» պրակտիկայի ներդրում</t>
  </si>
  <si>
    <t>Ներդրված է մարդկային ռեսուրսների շարժի արդյունավետ կառավարման գործուն և վերահսկելի մեխանիզմ։</t>
  </si>
  <si>
    <t>31․12․2025թ․</t>
  </si>
  <si>
    <t>ա․ գործող և միջազգային պրակտիկայի ուսումնասիրություն՝ մաքսային ձևակերպումները պարզեցնելու և արագացնելու համար</t>
  </si>
  <si>
    <t>Ապրանքների նույնականացման ժամանակ մաքսային ծառայողների սուբյեկտիվության վերացումը ապահովող ժամանակակից պահանջներին համապատասխանող և միասնական ստանդարտների հիման վրա մշակված մեթոդներ և հստակեցված ընթացակարգեր</t>
  </si>
  <si>
    <t>Համապատասխան մեթոդները և ընթացակարգերը հստակեցված են</t>
  </si>
  <si>
    <t>Ծառայությունների կառավարման էլեկտրոնային համակարգը ներդրվել է</t>
  </si>
  <si>
    <t>Ֆիզիկական անձանց կողմից տեղափոխվող ապրանքներն անձնական և ոչ անձնական օգտագործման ապրանքների շարքին դասելու չափորոշիչներիի կիրառում ռիսկերի կառավարման մեխանիզմում</t>
  </si>
  <si>
    <t>ա. ֆիզիկական անձանց անձնական օգտագործման ապրանքների նկատմամբ ռիսկերի կառավարման մեխանիզմի մշակման, այդ թվում՝ ապրանքները անձնական օգտագործման չդասելու հիմքերի ավտոմատացման համակարգի  տեխնիկական նկարագրի կազմում</t>
  </si>
  <si>
    <t>բ. գնման գործընթացի կազմակերպում (ըստ անհրաժեշտության)</t>
  </si>
  <si>
    <t>գ․ տեխնիկական առաջադրանքի կազմում և հաստատում</t>
  </si>
  <si>
    <t>դ. համակարգի մշակում, ծրագրավորում</t>
  </si>
  <si>
    <t>ե. համակարգի պիլոտային շահագործում</t>
  </si>
  <si>
    <t>զ. համակարգի հանձնում շահագործման</t>
  </si>
  <si>
    <t>Ներկայումս օրենսդրության համաձայն ապրանքները դասվում են անձնական օգտագործման ապրանքների շարքին՝ ելնելով ապրանքների բնույթից, հաճախականությունից, քանակից՝ մաքսային մարմնի որոշման հիման վրա։ Նպատակահարմար է ապահովել ապրանքների անձնական և ոչ անձնական օգտագործման շարքին դասելու չափորոշիչների ներդրում ավտոմատացված ռիսկերի կառավարման համակարգում։</t>
  </si>
  <si>
    <t>Մաքսային մարմինների կողմից օգտագործող ռենտգեն սարքավորումների սկանավորված պատկերների վերլուծության միասնական համակարգի ստեղծում, միասնական մոնիթորինգի կենտրոնի գործարկում, ռենտգեն նկարների ու մաքսային հսկողության տվյալների ինտեգրված վերլուծության նպատակով</t>
  </si>
  <si>
    <t xml:space="preserve">Ներկայումս մաքսային մարմինների կողմից օգտագործող ռենտգեն սարքավորման միջոցով սկանավորված պատկերների վերլուծությունները իրականցվում են լոկալ և տվյալների մշակման կենտրոնացված վերլուծության ժամանակակից մեխանիզմ ներդրված չէ։ Նոր գործիքակազմի ներդրման արդյունքում ակնկալվում է մաքսային հսկողության արդյունավետության բարձրացում։ </t>
  </si>
  <si>
    <t>Մաքսային մարմինների կողմից օգտագործող ռենտգեն սարքավորումների սկանավորված պատկերների վերլուծության միասնական համակարգը և մոնիթորինգի կենտրոնը գործարկված են</t>
  </si>
  <si>
    <t xml:space="preserve">Մաքսային ծառայության պաշտոնների համալրման նպատակով կադրային ռեզերվի ռեգիստրի ձևավորում և վարում՝ հիմք ընդունելով մաքսային ծառայողի պատրաստման դասընթացը հաջողությամբ հաղթահարած համարվելու հավաստագիր ունեցող անձանց, Մաքսային մարմնի օպերատիվ-հետախուզական գործառույթներ իրականացնող ստորաբաժանման պաշտոնների համալրման մրցույթի արդյունքում ձևավորված թեկնածուների ցուցակում ընդգրկված անձանց և մաքսային ծառայության կադրերի ռեզերվում գրանցված անձանց տվյալները։ </t>
  </si>
  <si>
    <t>ա․ Մաքսային ծառայողների թեկնածուների ցուցակների ձևավորում՝ ըստ պատրաստման դասընթացների տեսակների և մաքսային ծառայության պաշտոնների խմբերի՝ հիմք ընդունելով օրենսդրությամբ սահմանված կարգով մաքսային ծառայողի (բացառությամբ՝ ղեկավար պաշտոնների) պատրաստման դասընթացը և մաքսային ծառայության ղեկավար պաշտոններ զբաղեցնելու համար մաքսային ծառայողների պատրաստման դասընթացը հաջողությամբ հաղթահարած համարվելու հավաստագիր ունեցող անձանց՝ դասընթացների արդյունքում հավաքած միավորները (առավել բարձրից ցածր սկզբունքով) և ներկայացրած փաստաթղթերը։</t>
  </si>
  <si>
    <t>գ․ մաքսային ծառայության կադրերի ռեզերվի վարում՝ հիմք ընդունելով օրենսդրությամբ սահմանված հիմքերով մաքսային ծառայության պաշտոնից ազատված և մաքսային ծառայության կադրերի ռեզերվում գրանցված անձանց տվյալները</t>
  </si>
  <si>
    <t>դ․ օրենսդրությամբ սահմանված կարգով կադրային ռեզերվի ռեգիստրի վարում, տվյալների վերանայում և պարբերաբար թարմացումների կատարում</t>
  </si>
  <si>
    <t>դ․ ԱՏԳ սպասարկման կենտրոնների ստեղծման միջոցառումների ծրագրի իրականացում</t>
  </si>
  <si>
    <t>Կադրային ռեզերվի  ռեգիստրը ձևավորված է</t>
  </si>
  <si>
    <t>Ֆինանսավորման աղբյուրներ</t>
  </si>
  <si>
    <t>Oրենքով չարգելված այլ աղբյուրներ</t>
  </si>
  <si>
    <t>Պետական բյուջե և/կամ օրենքով չարգելված այլ աղբյուրներ</t>
  </si>
  <si>
    <t>Լրացուցիչ ֆինանսավորում չի պահանջվում</t>
  </si>
  <si>
    <t xml:space="preserve">Պետական բյուջե </t>
  </si>
  <si>
    <t>Պետական բյուջե</t>
  </si>
  <si>
    <t>Տվյալ միջոցառման համար նախատեսված ծախսերը ներառում են փորձագիտական լաբորատորիաների անհրաժեշտ սարքավորումների միջին շուկայական գինը և 4% գնաճը</t>
  </si>
  <si>
    <t xml:space="preserve">գ․ աուդիտ իրականացնող թիմի (անհրաժեշտության դեպքում թիմերի՝ ըստ ոլորտների) ձևավորում </t>
  </si>
  <si>
    <t>Տվյալ միջոցառման համար նախատեսված ֆինանսական հաշվարկի հիմքում ընկած է 10 հոգանոց  աուդիտի թիմ վերապատրաստելու համար նախատեսված միջին գինը և 4% գնաճը</t>
  </si>
  <si>
    <t>Տվյալ միջոցառման համար նախատեսված ծախսերը ներառված են 2.1.1 բ միջոցառման ծախսերի մեջ</t>
  </si>
  <si>
    <t xml:space="preserve">Տվյալ միջոցառման համար նախատեսվախ ֆինանսական հաշվարկի հիմքում ընկած է մեկ աշխատակցի հաշվով վերապատրաստման միջին գինը </t>
  </si>
  <si>
    <t>Օրենքով չարգելված այլ աղբյուրներ</t>
  </si>
  <si>
    <t>Տվյալ միջոցառման համար նախատեսված ծախսերը ներառված են 4.4.4 ա և բ միջոցառման ծախսերի մեջ</t>
  </si>
  <si>
    <t>Տվյալ միջոցառման գծով  ծախսերը նախատեսվում է իրականացնել ՎԶԵԲ-ի կողմից տրամադրված վարկային և դրամաշնորհային  միջոցների հաշվին:</t>
  </si>
  <si>
    <t>Մաքսային մարմինների կողմից օգտագործվող նույնականացման միջոցների և նույնականացման եղանակների կիրառման կարգի և դրանց ներկայացվող պահնաջների հստակեցում՝ հաշվի առնելով միջազգային փորձը</t>
  </si>
  <si>
    <t>բ․ նույնականացման միջոցների կիրառման կարգի և դրանց ներկայացվող պահնաջների վերաբերյալ իրավական ակտի մշակում, որում հստակ կսահմանվեն նույնականացման միջոցների  (եղանակների) կիրառման ճշտությանը վերաբերող կարգավորումներ</t>
  </si>
  <si>
    <t>ԵԱՏՄ մաքսային Օրենսգրքի 341-րդ հոդվածը,  որպես մաքսային հսկողության իրականացումն ապահվող միջոց սահմանում է ապրանքների, փաստաթղթերի տրանսպորտային միջոցների ինչպես նաև շինությունների և այլ վայրերի նույնականացման եղանակները։ԵԱՏՄ մաքսային օրենսգրքի  4-րդ բաժնով՝ առանձին մաքսային ընթացակարգերի կիրառման շրջանակներում սահմանված են նույնականացման եղանակներ։  Նույնականացման միջոցների և եղանակների կիրառման կարգի սահմանումը ԵԱՏՄ մաքսային օրենսգրքով  վերապահված է ազգային օրենսդությանը։ Ներկայումս հարցն ունի  ազգային օրենսդրությամբ լիարժեք կարգավորման կարիք  քանի որ միջոցների և եղանակների կիրառման հստակ մոտեցումների բացակայությունը՝ նույնականացման գործընթացում կարող է հանգեցնել  նույնականացման  ոչ ճիշտ  եղանակների և միջոցների  ընտրությանը։</t>
  </si>
  <si>
    <t>Ծանուցումների կառավարման էլեկտրոնային համակարգի գործարկում և կատարելագործում, այդ թվում մաքսային ձևակերպումների գործընթացում կիրառվող այլ ավտոմատացված համակերգերի հետ ինտեգրման ապահովմամբ</t>
  </si>
  <si>
    <t>բ․ համակարգի աշխատանքի մշտադիտարկում,  կատարելագործման աշխատանքների իրականացում, այդ թվում՝ մաքսային ձևակերպումների տարբեր փուլերի վերաբերյալ ծանուցումների ստացման հնարավորության ապահովման նպատակով այլ ավտոմատացված համակարգերի հետ ինտերման միջոցով</t>
  </si>
  <si>
    <t xml:space="preserve">Ծանուցումների կառավարման էլեկտրոնային համակարգի ներդրման արդյունքում տնտեսավարողների համար ստեղծվում է պարզ, կանխատեսելի և թափանցիկ մաքսային ձրակերպումների գործընթաց։ Միջոցառումը իրականացնելու ընթացքում անհրաժեշտ է առաջնորդվել, այդ թվում ՀՄԿ Compendium on Building a Single Window environment (https://www.wcoomd.org/en/topics/facilitation/instrument-and-tools/tools/single-window-guidelines.aspx)։
</t>
  </si>
  <si>
    <t>բ․ լրացուցիչ գնահատման ընթացակարգերի սահմանում, ինչպիսիք են գրավոր քննությունները, հարցազրույցները, գործնական գնահատումները, որոնք անհրաժեշտության դեպքում կկիրառվեն թեկնածուների գնահատման համար: Մաքսային մարմնի օպերատիվ-հետախուզական գործառույթներ իրականացնող պաշտոններ զբաղեցնելու համար թեկնածուների ցուցակի ձևավորում՝ հիմք ընդունելով օրենսդրությամբ սահմանված կարգով մաքսային մարմնի օպերատիվ-հետախուզական գործառույթներ իրականացնող ստորաբաժանման պաշտոնների համալրման մրցույթի արդյունքում հաղթող ճանաչված մասնակիցների վերջնական հարցազրույցի  գնահատականները  (բարձրից ցածր սկզբունքով) և մասնակիցների ներկայացրած փաստաթղթերը</t>
  </si>
  <si>
    <t>31.12.2028թ.</t>
  </si>
  <si>
    <t>30.07.2025թ.</t>
  </si>
  <si>
    <t>31․12․2027թ․
շարունակական</t>
  </si>
  <si>
    <t>31․06․2025թ․</t>
  </si>
  <si>
    <t>31.12.2024թ․</t>
  </si>
  <si>
    <t>31.12․2026թ․</t>
  </si>
  <si>
    <t>31.12.2025թ․</t>
  </si>
  <si>
    <t>31․12․2026թ․</t>
  </si>
  <si>
    <t>30.09.2026թ.</t>
  </si>
  <si>
    <t>30.04.2026թ.</t>
  </si>
  <si>
    <t>30.10.2025թ.</t>
  </si>
  <si>
    <t>28.02.2027թ.</t>
  </si>
  <si>
    <t>31.12.2028թ․</t>
  </si>
  <si>
    <t>31.12.2029թ.</t>
  </si>
  <si>
    <t>31.12.2029թ․</t>
  </si>
  <si>
    <t>31.12.2027թ.</t>
  </si>
  <si>
    <t>31.12.2026թ․</t>
  </si>
  <si>
    <t>31.05.2026թ․</t>
  </si>
  <si>
    <t>31.12.2025թ.</t>
  </si>
  <si>
    <t>31.07.2026թ.</t>
  </si>
  <si>
    <t>31.10.2028թ․</t>
  </si>
  <si>
    <t>31.12.2024թ.</t>
  </si>
  <si>
    <t>31.12.2026թ.</t>
  </si>
  <si>
    <t>31.12.2027թ.
շարունակական</t>
  </si>
  <si>
    <t>31.12.2027թ. 
շարունակական</t>
  </si>
  <si>
    <t>30.08.2025թ․
շարունակական</t>
  </si>
  <si>
    <t>30.09.2028թ․</t>
  </si>
  <si>
    <t>31.12.2026թ․
շարունակական</t>
  </si>
  <si>
    <t>31.12.2025թ․
շարունակական</t>
  </si>
  <si>
    <t>30.11.2025թ.
շարունակական</t>
  </si>
  <si>
    <t>31.12.2026թ.
շարունակական</t>
  </si>
  <si>
    <t>30.12.2026թ․
շարունակական</t>
  </si>
  <si>
    <t>30․06․2025թ․</t>
  </si>
  <si>
    <t>31․12․2028թ․</t>
  </si>
  <si>
    <t>31.10.2025թ.</t>
  </si>
  <si>
    <t>31.03.2026թ․ 
շարունակական</t>
  </si>
  <si>
    <t>30.11.2024թ.
շարունակական</t>
  </si>
  <si>
    <t>31.07.2024թ. 
շարունակական</t>
  </si>
  <si>
    <t>31.12.2024թ.
շարունակական</t>
  </si>
  <si>
    <t>31.05.2026թ․ 
շարունակական</t>
  </si>
  <si>
    <t>31.10.2025թ․
շարունակական</t>
  </si>
  <si>
    <t xml:space="preserve">30.04.2025թ․ </t>
  </si>
  <si>
    <t>31.12.2025թ.
շարունակական</t>
  </si>
  <si>
    <t>30.09.2028թ.</t>
  </si>
  <si>
    <t>31․12․2024թ․ 
շարունակական</t>
  </si>
  <si>
    <t>30․09․2026թ․</t>
  </si>
  <si>
    <t>31.12.2024թ․
Շարունակական</t>
  </si>
  <si>
    <t>31.12.2025թ․ շարունակական</t>
  </si>
  <si>
    <t>31․08․2029թ․</t>
  </si>
  <si>
    <t>12․31․2027թ․</t>
  </si>
  <si>
    <t>30․08․2025թ․</t>
  </si>
  <si>
    <t>31․07․2025թ․
շարունակական</t>
  </si>
  <si>
    <t>31․07․2024թ․</t>
  </si>
  <si>
    <t>31․07․2025թ․</t>
  </si>
  <si>
    <t>301․09․2024թ․</t>
  </si>
  <si>
    <t xml:space="preserve">31․12․2026թ․
</t>
  </si>
  <si>
    <t>Ենթանպատակ 4.1․ Մարդկային Ռեսուրսների Կառավարման արդի համակարգի ներդրում</t>
  </si>
  <si>
    <t xml:space="preserve">
31․12․2025թ․</t>
  </si>
  <si>
    <t xml:space="preserve">
31․12․2025թ
</t>
  </si>
  <si>
    <t xml:space="preserve">
01․07․2026թ</t>
  </si>
  <si>
    <t xml:space="preserve">
31.12.2025թ․</t>
  </si>
  <si>
    <t xml:space="preserve">
30.06.2026թ․
</t>
  </si>
  <si>
    <t xml:space="preserve">
31.07.2025թ․</t>
  </si>
  <si>
    <t>ՊԵԿ մաքսատներում ներկայումս կիրառվում են ամերիկյան «Ռապիսկան» և չինական «Նուկտեք» կազմակերպությունների ռենտգենյան զննող սարքերը, սակայն ոչ բոլոր մաքսակետերն են բավարար չափով կահավորված ռենտգենյան զննող սարքերով և անհրաժեշտություն է առաջացել տեխնիկապես վերազինել բոլոր մաքսակետերը։ 
Միջոցառման շրջանակներում նախատեսվում է «Օպերատիվ-հետախուզական գործունեության մասին» ՀՀ օրենքով հարկային և մաքսային մարմիններին վերապահված օպերատիվ-հետախուզական միջոցառումների իրականացման ընթացքում օգտագործել համապատասխան տեխնիկական միջոցներ, ինչը հնարավորություն կընձեռի բարձրացնել օպերատիվ-հետախուզական միջոցառումների որակը, ինչպես նաև այդ ընթացքում ստացված տեղեկությունները համապատասխանեցնել պահանջվող դատավարական նորմերին: 
Ծրագրի իրականացումը թույլ կտա՝
ա. թարմացնել մաքսատներում երկարատև շահագործվող ռենտգենյան զննող սարքավորումները, 
բ. ուղևորների և բեռների աճող հոսքերի պայմաններում ապահովել սպասարկման անհրաժեշտ որակ և բարձր մակարդակի մաքսային հսկողություն, այդ թվում՝ Հայաստանից ելքի վրա,
գ. հզորացնել մաքսային մարմինների կողմից շահագործվող սարքավորումների բազան:
Միջոցառման իրականացման ընթացքում առաջարկվում է առաջնորդվել, այդ թվում OSCE - UNECE Լավագույն փորձը սահմանային անցակետերում - Առևտրի և տրանսպորտի խթանման ձեռնարկով (https://www.osce.org/files/f/documents/0/e/99872.pdf) և ՀՄԿ Սկանավորման/Ոչ ինտրուզիվ սարքավորումների գնման և տեղակայման ուղեցույցով (https://www.wcoomd.org/en/topics/facilitation/instrument-and-tools/frameworks-of-standards/safe_package/nii-guidelines.aspx):</t>
  </si>
  <si>
    <t xml:space="preserve">ՀՀ ՊԵԿ մաքսային մարմնի էլեկտրոնային կառավարման համակարգերի, մատուցվող ծառայությունների գույքագրում, արդիականացման կամ ծառայությունների ընդլայնման ենթակա համակարգերի վերհանում, դրանց բարելավման առաջարկների մշակում, այդ թվում բոլորը մեկում բջջային հավելվածի (SuperApp) նախագծելու, մաքսային փաստաթղթերի ձևավորման համար անհրաժեշտ բոլոր տվյալների մուտքագրման  մեկ հարթակի մշակում, որից ավտոմատ գեներացվում են մաքսային ձևակերպումների համար անհրաժեշտ բոլոր փաստաթղթերը, ինչպես նաև ԵԱՏՄ իրավունքի մասը կազմող իրավական ակտերում կատարված փոփոխությունների և լրացումների համատեքստում </t>
  </si>
  <si>
    <t>Մարդկային ռեսուրսների կառավարման բոլոր գործառույթների իրականացման ընթացակարգերի արդիականացում</t>
  </si>
  <si>
    <t>ա․Համաշխարհային մաքսային կազմակերպության "Մաքսային ծառայողների համար կոռուպցիայի դեմ պայքարի և բարեվարքության խթանման" (A-CIP) ծրագրի ներդրման նախաձեռնում</t>
  </si>
  <si>
    <t xml:space="preserve">«Մաքսային ծառայության մասին» օրենքում փոփոխություններ և լրացումներ կատարելու մասին» 16․12․2021թ․ ՀՕ-424-Ն օրենքի և դրա կիրարկումն ապահովող համապատասխան ենթաօրենսդրական իրավական ակտերի ընդունմամբ ամբողջապես վերանայվել է մաքսային ծառայության ընդունվելու համար անցկացվող մրցույթի կազմակերպման և իրականացման գործընթացը։ Համակարգը պրոֆեսիոնալ կադրերով համալրելու նպատակով ներդրվել է գիտելիքների և կարողությունների ելակետային ստուգման գործընթաց, ինչը հնարավորություն կընձեռնի նույնականացնել առավել կոմպետենտ և մրցունակ անձանց՝ հետագայում պատրաստման դասընթացը հաջողությամբ ավարտելու դեպքում Կոմիտեի մաքսային ծառայողների շարքերը համալրելու նպատակով։ Նոր չափանիշներով մաքսային ծառայողների պատրաստման նպատակով Կոմիտեն տարին առնվազն մեկ անգամ կազմակերպում և անցկացնում է մաքսային ծառայողի պատրաստման դասընթաց, որի բոլոր փուլերը հաջողությամբ հաղթահարած և համապատասխան հավաստագիր ստացած անձինք առավելագույնը երեք տարի ժամկետով ընդգրկվում են Կոմիտեի կողմից վարվող մաքսային ծառայողների թեկնածուների ցուցակում։
Օրենքով, ինչպես նաև ՊԵԿ նախագահի 2022թ․ N 96-Ն հրամանի համաձայն ընդունելության կազմակերպչական աշխատանքների իրականացուը վերապահվել է ՊԵԿ ուսումնական կենտրոնին, որը հանդիսանում է ՄՌԿ ստորաբաժանման գործառույթ։ 
Միաժամանակ, հաշվի առնելով ոլորտի զարգացումները, անհրաժեշտ է արդիականացնել գործող ընթացակարգերը՝ ռազմավարական նպատակներին և միջազգայնորեն ընդունված չափանիշներին համապատասխան։ </t>
  </si>
  <si>
    <r>
      <t xml:space="preserve">ա. «Նախնական մաքսային հայտարարագրման» էլեկտրոնային համակարգի </t>
    </r>
    <r>
      <rPr>
        <sz val="10"/>
        <color rgb="FF000000"/>
        <rFont val="GHEA Grapalat"/>
        <family val="3"/>
      </rPr>
      <t>գործարկմանը խոչընդոտող խնդիրների վերհանումը, անհրաժեշտության դեպքում համակարգի կատարելագործման առաջարկների մշակում</t>
    </r>
  </si>
  <si>
    <r>
      <t xml:space="preserve">ա․ օրենսդրական փոփոխություններ և լրացումներ, որոնք կապահովեն Մարդկային ռեսուրսների կառավարման ստորաբաժանման  </t>
    </r>
    <r>
      <rPr>
        <sz val="10"/>
        <rFont val="GHEA Grapalat"/>
        <family val="3"/>
      </rPr>
      <t>արդիականացումը</t>
    </r>
  </si>
  <si>
    <r>
      <t xml:space="preserve">ՊԵԿ մարդկային ռեսուրսների կառավարումն իրականացնում է Կոմիտեի անձնակազմի կառավարման վարչությունը։ Կոմիտեի նախագահի 2019 թվականի ապրիլի 11-ի թիվ 255-Լ հրամանով հաստատված Վարչության կանոնադրությամբ հստակ ամրագրված են Վարչության գործառույթները, որոնք ընդգրկում են  ոչ միայն մաքսային ծառայության, այլ նաև հարկային և քաղաքացիական ծառայությունների մասով գործառույթներ։ </t>
    </r>
    <r>
      <rPr>
        <sz val="10"/>
        <rFont val="GHEA Grapalat"/>
        <family val="3"/>
      </rPr>
      <t xml:space="preserve"> «Մաքսային ծառայության մասին» օրենքի համաձայն մաքսային ծառայողների աշխատանքային հարաբերություններին վերաբերող հարցերը, որոնք կարգավորված չեն այդ օրենքով, կարգավորվում են «Քաղաքացիական ծառայության մասին» և «Հանրային ծառայության մասին» օրենքներով: Նշված իրավական ակտերով այդ հարաբերությունները կարգավորված չլինելու դեպքում դրանք կարգավորվում են Հայաստանի Հանրապետության աշխատանքային օրենսդրությամբ: 
Ընդ որում, 2022թ․ հունվարի 1-ից ուժի մեջ մտած նոր օրենսդրական իրավակարգավորումներով ամբողջովին վերանայվել է մաքսային ծառայողների համալրման և վերապատրաստման ընթացակարգը, որն իրականացվում է նոր ընդունված ենթաօրենսդրական իրավական ակտերով սահմանված կարգով։ </t>
    </r>
    <r>
      <rPr>
        <sz val="10"/>
        <color theme="1"/>
        <rFont val="GHEA Grapalat"/>
        <family val="3"/>
      </rPr>
      <t xml:space="preserve">
ՊԵԿ 2020-2024թթ․ ռազմավարությամբ սահմանված ռազմավարական նպատակներից մեկը հանդիսանում է մարդկային ռեսուրսների կառավարման արդի համակարգի ներդրումը։ Հաշվի առնելով անձնակազմի կառավարման և մարդկային ռեսուրսների համակարգերի միջև տարբերությունները, անհրաժեշտ է նախաձեռնել համակարգի գործառույթների և գործընթացների փոփոխություններ՝ համապատասխանեցնելով դրանք մարդկային ռեսուրսների կառավարման համակարգին։</t>
    </r>
  </si>
  <si>
    <r>
      <t>ա․ Մարդկային ռեսուրսների կառավաման բարելավվում  այնպիսի  ոլորտներում,</t>
    </r>
    <r>
      <rPr>
        <sz val="10"/>
        <color rgb="FF000000"/>
        <rFont val="GHEA Grapalat"/>
        <family val="3"/>
      </rPr>
      <t xml:space="preserve"> ինչպիսիք են </t>
    </r>
    <r>
      <rPr>
        <sz val="10"/>
        <rFont val="GHEA Grapalat"/>
        <family val="3"/>
      </rPr>
      <t>հիվանդության պատճառով ժամանակավոր անաշխատունակության ժամանակահատվածը,</t>
    </r>
    <r>
      <rPr>
        <sz val="10"/>
        <color rgb="FFFF0000"/>
        <rFont val="GHEA Grapalat"/>
        <family val="3"/>
      </rPr>
      <t xml:space="preserve"> </t>
    </r>
    <r>
      <rPr>
        <sz val="10"/>
        <rFont val="GHEA Grapalat"/>
        <family val="3"/>
      </rPr>
      <t>տվյալ պաշտոնը զբաղեցնելու համար անհրաժեշտ մասնագիտական գիտելիքների և կոմպետենցիաների պահանջները,</t>
    </r>
    <r>
      <rPr>
        <sz val="10"/>
        <color rgb="FFFF0000"/>
        <rFont val="GHEA Grapalat"/>
        <family val="3"/>
      </rPr>
      <t xml:space="preserve">  </t>
    </r>
    <r>
      <rPr>
        <sz val="10"/>
        <color rgb="FF000000"/>
        <rFont val="GHEA Grapalat"/>
        <family val="3"/>
      </rPr>
      <t xml:space="preserve">անվտանգությունը, </t>
    </r>
    <r>
      <rPr>
        <sz val="10"/>
        <rFont val="GHEA Grapalat"/>
        <family val="3"/>
      </rPr>
      <t xml:space="preserve">փոխհատուցումը, </t>
    </r>
    <r>
      <rPr>
        <sz val="10"/>
        <color rgb="FF000000"/>
        <rFont val="GHEA Grapalat"/>
        <family val="3"/>
      </rPr>
      <t xml:space="preserve"> </t>
    </r>
    <r>
      <rPr>
        <sz val="10"/>
        <color rgb="FFFF0000"/>
        <rFont val="GHEA Grapalat"/>
        <family val="3"/>
      </rPr>
      <t xml:space="preserve"> </t>
    </r>
    <r>
      <rPr>
        <sz val="10"/>
        <rFont val="GHEA Grapalat"/>
        <family val="3"/>
      </rPr>
      <t xml:space="preserve">աշխատաժամանակը, </t>
    </r>
    <r>
      <rPr>
        <sz val="10"/>
        <color rgb="FF000000"/>
        <rFont val="GHEA Grapalat"/>
        <family val="3"/>
      </rPr>
      <t xml:space="preserve"> աշխատողների վարձատրությունը ինչպես նաև գենդերային հավասարության, հատուկ կարիքներ ունեցող  աշխատակիցների վերաբերյալ   քաղաքականությունը։
</t>
    </r>
    <r>
      <rPr>
        <sz val="10"/>
        <color rgb="FFFF0000"/>
        <rFont val="GHEA Grapalat"/>
        <family val="3"/>
      </rPr>
      <t xml:space="preserve"> </t>
    </r>
    <r>
      <rPr>
        <sz val="10"/>
        <color rgb="FF000000"/>
        <rFont val="GHEA Grapalat"/>
        <family val="3"/>
      </rPr>
      <t xml:space="preserve">
</t>
    </r>
  </si>
  <si>
    <r>
      <t xml:space="preserve">ՄՌԿ համակարգի գործունեությունը կարգավորվում է մի շարք ՀՀ օրնքներով և բազմաթիվ իրավական ակտերով, որոնք արտացոլում են ոլորտում վարվող քաղաքականությունը։ ՄՌԿ համակարգի ընթացակարգերը «Մաքսային ծառայության մասին» ՀՀ օրենքի համաձայն հիմնականում (բացառությամբ «Մաքսային ծառայության մասին» </t>
    </r>
    <r>
      <rPr>
        <b/>
        <sz val="10"/>
        <rFont val="GHEA Grapalat"/>
        <family val="3"/>
      </rPr>
      <t xml:space="preserve"> </t>
    </r>
    <r>
      <rPr>
        <sz val="10"/>
        <rFont val="GHEA Grapalat"/>
        <family val="3"/>
      </rPr>
      <t xml:space="preserve">«Մաքսային ծառայության մասին» օրենքի համաձայն մաքսային ծառայողների աշխատանքային հարաբերություններին վերաբերող հարցերը, որոնք կարգավորված չեն այդ օրենքով, կարգավորվում են «Քաղաքացիական ծառայության մասին» և «Հանրային ծառայության մասին» օրենքներով: Նշված իրավական ակտերով այդ հարաբերությունները կարգավորված չլինելու դեպքում դրանք կարգավորվում են Հայաստանի Հանրապետության աշխատանքային օրենսդրությամբ: 
ՊԵԿ ՄՌԿ (անձնակազմի կառավարման) համակարգի հետ կապված աշխատանքների առավել համակարգված և արդյունավետ իրականացման համար մշակել մարդկային ռեսուրսների կառավարման համակարգի բարելավման ռազմավարություն, </t>
    </r>
  </si>
  <si>
    <r>
      <t xml:space="preserve">ՄՌԿ համակարգի բարելավման ռազմավարության նախագիծը ընդւնված է ներքին իրավական </t>
    </r>
    <r>
      <rPr>
        <sz val="10"/>
        <rFont val="GHEA Grapalat"/>
        <family val="3"/>
      </rPr>
      <t>ակտով</t>
    </r>
  </si>
  <si>
    <r>
      <rPr>
        <u/>
        <sz val="10"/>
        <color rgb="FFFF0000"/>
        <rFont val="GHEA Grapalat"/>
        <family val="3"/>
      </rPr>
      <t xml:space="preserve">
</t>
    </r>
    <r>
      <rPr>
        <sz val="10"/>
        <rFont val="GHEA Grapalat"/>
        <family val="3"/>
      </rPr>
      <t>30.08.2025թ․</t>
    </r>
  </si>
  <si>
    <r>
      <t xml:space="preserve">Մաքսային ծառայության ընթացակարգերի բիզնես գործընթացների գույքագրման, ուսումնասիրության, </t>
    </r>
    <r>
      <rPr>
        <sz val="10"/>
        <rFont val="GHEA Grapalat"/>
        <family val="3"/>
      </rPr>
      <t>բարելավման</t>
    </r>
    <r>
      <rPr>
        <sz val="10"/>
        <color rgb="FFFF0000"/>
        <rFont val="GHEA Grapalat"/>
        <family val="3"/>
      </rPr>
      <t xml:space="preserve"> </t>
    </r>
    <r>
      <rPr>
        <sz val="10"/>
        <color rgb="FF000000"/>
        <rFont val="GHEA Grapalat"/>
        <family val="3"/>
      </rPr>
      <t>առաջարկների հիման վրա իրականացվող գործառույթների և անձնակազմի կարողությունների համապատասխանության  գնահատում</t>
    </r>
  </si>
  <si>
    <r>
      <t xml:space="preserve">դ․ բիզնես գործընթացների օպտիմալացման, </t>
    </r>
    <r>
      <rPr>
        <strike/>
        <sz val="10"/>
        <color rgb="FF000000"/>
        <rFont val="GHEA Grapalat"/>
        <family val="3"/>
      </rPr>
      <t xml:space="preserve"> </t>
    </r>
    <r>
      <rPr>
        <sz val="10"/>
        <rFont val="GHEA Grapalat"/>
        <family val="3"/>
      </rPr>
      <t>բարելավման և արդիականացման</t>
    </r>
    <r>
      <rPr>
        <sz val="10"/>
        <color rgb="FF000000"/>
        <rFont val="GHEA Grapalat"/>
        <family val="3"/>
      </rPr>
      <t xml:space="preserve"> մանրամասն առաջարկների մշակում</t>
    </r>
  </si>
  <si>
    <r>
      <rPr>
        <sz val="10"/>
        <rFont val="GHEA Grapalat"/>
        <family val="3"/>
      </rPr>
      <t>Պետական եկամուտների կոմիտեի նախագահի 2022 թվականի հունվարի 31-ի N 92-Լ հրամանով ընդունվել է Մաքսային ծառայողի վարքագծի (էթիկայի) կանոնները (այսուհետ նաև Կանոններ): Կանոնները բխում են «Հանրային ծառայության մասին» ՀՀ օրենքում սահմանված վարքագծի սկզբունքներից և հանդիսանում են հանրային ծառայության բարեվարքության ընդհանուր համակարգի բաղկացուցիչ մասը:
ՊԵԿ-ում Էթիկայի հանձնաժողով ձևավորված չէ, սակայն բարեվարքությանը վերաբերող դիմում-բողոքները ուսումնասիրվում են ՀՀ ՊԵԿ նախագահի հրամանով ձևավորված "ՀՀ ՊԵԿ հարկային և մաքսային մարմինների ծառայողական քննություն անցկացնող հանձնաժողովի" կողմից։ Նշված բողոքների ուսումնասիրության արդյունքում, եթե հայտնաբերվում են խախտումներ, ապա ծառայողների նկատմամբ հարուցվում են ծառայողական քննություններ։ Ծառայողական քննությունների արդյունքում տրված եզրակացությունները որոշակի սկզբունքով ամրագրվում են արդեն իսկ վարվող ոչ պաշտոնական էլեկտրոնային մատյանում։ Միջոցառումների իրականացման ընթացքում անհրաժեշտ է առաջնորդվել նաև միջազգային կազմակերպությունների կողմից մշակված ուղեցույցերով, այդ թվում՝ Համաշխարհային մաքսային կազմակերպության "Մաքսային ծառայողների համար կոռուպցիայի դեմ պայքարի և բարեվարքության խթանման" (A-CIP) ծրագրով (հղումը՝ https://www.wcoomd.org/-/media/wco/public/global/pdf/topics/capacity-building/activities-and-programmes/cooperation-programme/acip/a-cip_information-sheet.pdf?la=en%20%D6%89) ։</t>
    </r>
    <r>
      <rPr>
        <sz val="10"/>
        <color theme="1"/>
        <rFont val="GHEA Grapalat"/>
        <family val="3"/>
      </rPr>
      <t xml:space="preserve">
</t>
    </r>
  </si>
  <si>
    <r>
      <t xml:space="preserve">գ․ Վարքագծի (էթիկայի) կանոնների </t>
    </r>
    <r>
      <rPr>
        <sz val="10"/>
        <rFont val="GHEA Grapalat"/>
        <family val="3"/>
      </rPr>
      <t>պահպանումը</t>
    </r>
    <r>
      <rPr>
        <sz val="10"/>
        <color theme="1"/>
        <rFont val="GHEA Grapalat"/>
        <family val="3"/>
      </rPr>
      <t xml:space="preserve"> դարձնել ռիսկի պարամետր տարեկան և ռազմավարական ծրագրերը կազմելիս և իրականացնելիս։
</t>
    </r>
  </si>
  <si>
    <r>
      <t xml:space="preserve">դ․ Աշխատակազմի տեղեկացվածության ապահովման գործառույթը  </t>
    </r>
    <r>
      <rPr>
        <sz val="10"/>
        <rFont val="GHEA Grapalat"/>
        <family val="3"/>
      </rPr>
      <t>վերապահել</t>
    </r>
    <r>
      <rPr>
        <sz val="10"/>
        <color rgb="FFFF0000"/>
        <rFont val="GHEA Grapalat"/>
        <family val="3"/>
      </rPr>
      <t xml:space="preserve"> </t>
    </r>
    <r>
      <rPr>
        <sz val="10"/>
        <color theme="1"/>
        <rFont val="GHEA Grapalat"/>
        <family val="3"/>
      </rPr>
      <t>ՀՀ ՊԵԿ հարկային և մաքսային մարմինների ծառայողական քննություն անցկացնող  հանձնաժողովի</t>
    </r>
    <r>
      <rPr>
        <sz val="10"/>
        <rFont val="GHEA Grapalat"/>
        <family val="3"/>
      </rPr>
      <t>ն</t>
    </r>
    <r>
      <rPr>
        <sz val="10"/>
        <color theme="1"/>
        <rFont val="GHEA Grapalat"/>
        <family val="3"/>
      </rPr>
      <t xml:space="preserve">  այդպիսով տալով պարտադիր բնույթ։ Հանձնաժողովը կստանձնի պարտականություն եռամսյակային պարբերականությամբ բացահայտված  դեպքերը ներկայացնել աշխատակազմին, այսպիսով տալով այդ գործընթացին նաև ուսումնական բնույթ, անանուն կերպով նկարագրելլով յուրաքանչյուր դեպք, կիրառված պատասխանատվության միջոց։ Այս պարտադիր միջոցը կկրի կանխարգելիչ դեր։ Միջոցառման իրականացմանը պետք է մասնակցի նաև Անձնակազմի կառավարման վարչության</t>
    </r>
    <r>
      <rPr>
        <sz val="10"/>
        <color rgb="FFFF0000"/>
        <rFont val="GHEA Grapalat"/>
        <family val="3"/>
      </rPr>
      <t xml:space="preserve"> </t>
    </r>
    <r>
      <rPr>
        <sz val="10"/>
        <color theme="1"/>
        <rFont val="GHEA Grapalat"/>
        <family val="3"/>
      </rPr>
      <t xml:space="preserve">
</t>
    </r>
    <r>
      <rPr>
        <sz val="10"/>
        <rFont val="GHEA Grapalat"/>
        <family val="3"/>
      </rPr>
      <t>բարեվարքության հարցերով կազմակերպիչը։</t>
    </r>
  </si>
  <si>
    <r>
      <t xml:space="preserve">Պետական եկամուտների կոմիտեի նախագահի 2022 թվականի հունվարի 31-ի N 92-Լ հրամանով ընդունվել է Մաքսային ծառայողի վարքագծի (էթիկայի) կանոնները (այսուհետ նաև Կանոններ): Կանոնները բխում է «Հանրային ծառայության մասին» ՀՀ օրենքում (այսուհետ նաև Օրենք) սահմանված վարքագծի սկզբունքներից և հանդիսանում է հանրային
ծառայության բարեվարքության ընդհանուր համակարգի բաղկացուցիչ մասը:
ԱՄՆ ՄԶԳ աջակցությամբ 2023թ․ ՊԵԿ "Ուսումնական կենտրոնի" կողմից մշակվել է "Մաքսային ծառայողի վարքագծի կանոնների 
 բացատրական ուղեցույց" 
Կանոնները նորմերի համակարգ է, որը միտված է ապահովելու </t>
    </r>
    <r>
      <rPr>
        <sz val="10"/>
        <rFont val="GHEA Grapalat"/>
        <family val="3"/>
      </rPr>
      <t>մ</t>
    </r>
    <r>
      <rPr>
        <sz val="10"/>
        <color theme="1"/>
        <rFont val="GHEA Grapalat"/>
        <family val="3"/>
      </rPr>
      <t xml:space="preserve">աքսային ծառայողի </t>
    </r>
    <r>
      <rPr>
        <sz val="10"/>
        <rFont val="GHEA Grapalat"/>
        <family val="3"/>
      </rPr>
      <t>պատշաճ աշխատելաոճը</t>
    </r>
    <r>
      <rPr>
        <sz val="10"/>
        <color rgb="FFFF0000"/>
        <rFont val="GHEA Grapalat"/>
        <family val="3"/>
      </rPr>
      <t xml:space="preserve">  </t>
    </r>
    <r>
      <rPr>
        <sz val="10"/>
        <color theme="1"/>
        <rFont val="GHEA Grapalat"/>
        <family val="3"/>
      </rPr>
      <t xml:space="preserve"> ամրապնդելու հասարակության վստահությունը մաքսային ծառայության նկատմամբ։  Կանոնների նպատակներից է նաև ծառայողի վարքագծի նորմերի հետևողական զարգացումը, ինչը նախատեսում է կանոնների պարբերական վերանայում, մաքսային ծառայողների շարունակական վերապատրաստում։ Էթիկայի կանոնների պահպանման նկատմամբ մոնիթորինգի համակարգ մշակված չէ։</t>
    </r>
  </si>
  <si>
    <r>
      <t xml:space="preserve">
</t>
    </r>
    <r>
      <rPr>
        <sz val="10"/>
        <rFont val="GHEA Grapalat"/>
        <family val="3"/>
      </rPr>
      <t>31․12․2025թ․</t>
    </r>
  </si>
  <si>
    <r>
      <t>Մաքսային ծառայության համակարգի աշխատակիցների շարժի կառավարման գործընթացը ևս ՄՌԿ կարևոր գործառույթներից մեկն է։   Ներկայումս պատշաճ ուշադրություն այս գործընթացի նկատմամբ չի հատկացվում, չի իրականացվում մաքսային ծառայողների հոսունության մակարդակի հաշվարկում, չկա հստակ սահմանված ընթացակարգ աշխատանքը լքող մաքսային ծառայողների հետ տարվող աշխատանքի վերաբերյալ, հաստատված չէ և չի կիրառվում աշխատանքից դուրս գալու ցանկություն ունեցող ծատայողի հետ զրույցի պրակտիկան, ինչպես նաև մշակված  չեն մաքսային ծառայողների հետ հաղորդակցության մեթոդները</t>
    </r>
    <r>
      <rPr>
        <strike/>
        <sz val="10"/>
        <rFont val="GHEA Grapalat"/>
        <family val="3"/>
      </rPr>
      <t>։</t>
    </r>
    <r>
      <rPr>
        <sz val="10"/>
        <rFont val="GHEA Grapalat"/>
        <family val="3"/>
      </rPr>
      <t xml:space="preserve"> նրանց կարիքների և խնդիրների վերհանման հարցաշարերը։</t>
    </r>
  </si>
  <si>
    <r>
      <t xml:space="preserve">
</t>
    </r>
    <r>
      <rPr>
        <sz val="10"/>
        <rFont val="GHEA Grapalat"/>
        <family val="3"/>
      </rPr>
      <t>01.07.2026թ․</t>
    </r>
  </si>
  <si>
    <r>
      <t xml:space="preserve">բ․ ապահովել մաքսային մարմնի աշխատակիցների պաշտոնի նկարագրերի (անձնագրերի) վերանայում՝ ճշգրիտ արտացոլելով իրականացվող գործառույթները, այդ թվում՝ հաշվի առնելով ՀՀ ՊԵԿ մաքսային ծառայության բիզնես գործընթացների </t>
    </r>
    <r>
      <rPr>
        <strike/>
        <sz val="10"/>
        <color theme="1"/>
        <rFont val="GHEA Grapalat"/>
        <family val="3"/>
      </rPr>
      <t xml:space="preserve"> </t>
    </r>
    <r>
      <rPr>
        <sz val="10"/>
        <rFont val="GHEA Grapalat"/>
        <family val="3"/>
      </rPr>
      <t>բարելավման և   արդիականացման</t>
    </r>
    <r>
      <rPr>
        <sz val="10"/>
        <color rgb="FFFF0000"/>
        <rFont val="GHEA Grapalat"/>
        <family val="3"/>
      </rPr>
      <t xml:space="preserve"> </t>
    </r>
    <r>
      <rPr>
        <sz val="10"/>
        <color theme="1"/>
        <rFont val="GHEA Grapalat"/>
        <family val="3"/>
      </rPr>
      <t xml:space="preserve"> պահանջները</t>
    </r>
  </si>
  <si>
    <r>
      <t xml:space="preserve">գ․ մաքսային ծառայողների նպատակների և հիմնական արդյունքների ցուցանիշների </t>
    </r>
    <r>
      <rPr>
        <sz val="10"/>
        <rFont val="GHEA Grapalat"/>
        <family val="3"/>
      </rPr>
      <t>(OKR)</t>
    </r>
    <r>
      <rPr>
        <sz val="10"/>
        <color theme="1"/>
        <rFont val="GHEA Grapalat"/>
        <family val="3"/>
      </rPr>
      <t xml:space="preserve"> մշակում և ներդնում</t>
    </r>
  </si>
  <si>
    <r>
      <t>Մաքսային ծառայողի պատրաստման նպատակով «Ուսումնական կենտրոն» ՊՈԱԿ-ի կողմից իրականացվող դասընթացների և ընդունելության գործընթացի  բարելավում</t>
    </r>
    <r>
      <rPr>
        <b/>
        <sz val="10"/>
        <color rgb="FF000000"/>
        <rFont val="GHEA Grapalat"/>
        <family val="3"/>
      </rPr>
      <t xml:space="preserve">
</t>
    </r>
    <r>
      <rPr>
        <sz val="10"/>
        <color rgb="FF000000"/>
        <rFont val="GHEA Grapalat"/>
        <family val="3"/>
      </rPr>
      <t xml:space="preserve">
</t>
    </r>
  </si>
  <si>
    <r>
      <t xml:space="preserve">բ.մաքսային ծառայողների գործառույթներին և ակնկալվող հստակեցված հմտությունների շրջանակին համապատասխան դասընթացների մշակում
</t>
    </r>
    <r>
      <rPr>
        <b/>
        <sz val="10"/>
        <color theme="1"/>
        <rFont val="GHEA Grapalat"/>
        <family val="3"/>
      </rPr>
      <t xml:space="preserve"> </t>
    </r>
  </si>
  <si>
    <r>
      <t xml:space="preserve">Մարդկային ռեսուրսների կառավարման վարչության կանոնադրության համաձայն վերապատրաստման հարցերով զբաղվելու իրավասությունը վերապահված է  ՄՌԿ վարչության Մրցույթների, վերապատրաստման կազմակերպման և </t>
    </r>
    <r>
      <rPr>
        <sz val="10"/>
        <rFont val="GHEA Grapalat"/>
        <family val="3"/>
      </rPr>
      <t>վերլուծության</t>
    </r>
    <r>
      <rPr>
        <sz val="10"/>
        <color rgb="FFFF0000"/>
        <rFont val="GHEA Grapalat"/>
        <family val="3"/>
      </rPr>
      <t xml:space="preserve"> </t>
    </r>
    <r>
      <rPr>
        <sz val="10"/>
        <color theme="1"/>
        <rFont val="GHEA Grapalat"/>
        <family val="3"/>
      </rPr>
      <t xml:space="preserve">բաժնին։ Բաժինը իր կանոնադրական գործառույթներին համապատասխան սահմանված կարգով իրականացնում է քաղաքացիական, հարկային և մաքսային ծառայողնեևրի վերապատրաստման կարիքների գնահատում, կազմակերպում է ծառայողների վերապատրաստման աշխատանքները, այդ թվում՝ ապահովում է վերապատրաստման ծրագրերի կազմումը, թեստավորման գործընթացի վերահսկողությունը։
Սակայն այնպիսի կարևոր գործառույթ, ինչպիսին է վերապատրաստումների արդյունքների գնահատման գործընթացը, որը  կազմում է վերապատրաստման բիզնես գործընթացի անբաժանելի մասը, ստորաբաժանմանը կանոնադրությամբ վերապահված չէ։ 
Վերապատրաստման հարցերով զբաղվում է նաև ՊԵԿ «Ուսումնական կենտրոն» ՊՈԱԿ-ը, որը  իրականացնում է հարկային և մաքսային մարմիններում ծառայողների մասնագիտական գիտելիքների վերաբերյալ վերապատրաստումներ՝։ Կենտրոնը իր կանոնադրական նպատակներին և խնդիրներին համապատասխան
Հարկային և մաքսային ծառայողների վերապատրաստումը անցկացվում է միայն  «Ուսումնական կենտրոն»-ի կողմից։ Կենտրոնը մասնագիտական թեմաներով վերապատրաստման դասընթացները կազմակերպում և ացկացնում է իր անձնակազմի և հրավիրված մասնագետների միջոցով։ 
</t>
    </r>
  </si>
  <si>
    <r>
      <t xml:space="preserve">գ. Մասնագետների պատրաստման, վերապատրաստման կարիքների գնահատման գործընթացի տեղեկատվության հավաքագրման նոր մեխանիզմների մշակում ` օգտագործելով տվյալների մուտքագրման համակարգչային/թվային/ ծրագրերը
</t>
    </r>
    <r>
      <rPr>
        <b/>
        <sz val="10"/>
        <color theme="1"/>
        <rFont val="GHEA Grapalat"/>
        <family val="3"/>
      </rPr>
      <t xml:space="preserve"> </t>
    </r>
  </si>
  <si>
    <r>
      <t xml:space="preserve">Ուսումնական հաստատությունների, վերապատրաստող կազմակերպությունների և մասնավոր հատվածի հետ համագործակցության գործիքակազմերի մշակում և համագործակցության զարգացում
</t>
    </r>
    <r>
      <rPr>
        <b/>
        <sz val="10"/>
        <color rgb="FF000000"/>
        <rFont val="GHEA Grapalat"/>
        <family val="3"/>
      </rPr>
      <t xml:space="preserve">
</t>
    </r>
  </si>
  <si>
    <r>
      <t xml:space="preserve">Դասընթացավարների և դասընթացների որակի գնահատման համակարգի մշակում և ներդնում 
</t>
    </r>
    <r>
      <rPr>
        <b/>
        <sz val="10"/>
        <color rgb="FF000000"/>
        <rFont val="GHEA Grapalat"/>
        <family val="3"/>
      </rPr>
      <t xml:space="preserve">
</t>
    </r>
  </si>
  <si>
    <t xml:space="preserve">N 2 hավելված
ՀՀ կառավարության 2024 թվականի
-ի N -Լ որոշման
</t>
  </si>
  <si>
    <t>ՀԱՊԱՎՈՒՄՆԵՐ</t>
  </si>
  <si>
    <t>ԲՏԱՆ</t>
  </si>
  <si>
    <t>ՀՀ բարձր տեխնոլոգիական արդյունաբերության նախարարություն</t>
  </si>
  <si>
    <t>ԷՆ</t>
  </si>
  <si>
    <t>ՀՀ էկոնոմիկայի նախարարություն</t>
  </si>
  <si>
    <t>ՀՀ պետական եկամուտների կոմիտե</t>
  </si>
  <si>
    <t>ՖՆ</t>
  </si>
  <si>
    <t>ՀՀ ֆինանսների նախարարություն</t>
  </si>
  <si>
    <t>ԱԳՆ</t>
  </si>
  <si>
    <t>ՀՀ արտաքին գործերի նախարարություն</t>
  </si>
  <si>
    <t>ՆԳՆ</t>
  </si>
  <si>
    <t>ՀՀ ներքին գործերի նախարարություն</t>
  </si>
  <si>
    <t>ՏԿԵՆ</t>
  </si>
  <si>
    <t>ՊՆ</t>
  </si>
  <si>
    <t>ՀՀ պաշտպանության նախարարություն</t>
  </si>
  <si>
    <t>ԱԱԾ</t>
  </si>
  <si>
    <t>ՀՀ ազգային անվտանգության ծառայություն</t>
  </si>
  <si>
    <t>ՔԿ</t>
  </si>
  <si>
    <t>ՀՀ քննչական կոմիտե</t>
  </si>
  <si>
    <t>ԱՆ</t>
  </si>
  <si>
    <t>ՀՀ արդարադատության նախարարություն</t>
  </si>
  <si>
    <t xml:space="preserve">ԿԳՄՍՆ </t>
  </si>
  <si>
    <t>ՀՀ կրթության, գիտության, մշակույթի և սպորտի նախարարության</t>
  </si>
  <si>
    <t>ՍԱՏՄ</t>
  </si>
  <si>
    <t>ՄԱԿՊԿ</t>
  </si>
  <si>
    <t>ՀՀ միջուկային անվտանգության կարգավորման պետական կոմիտե</t>
  </si>
  <si>
    <t>ՀԾԿՀ</t>
  </si>
  <si>
    <t>ՀՀ հանրային ծառայությունները կարգավորող հանձնաժողով</t>
  </si>
  <si>
    <t xml:space="preserve">ՇՄՆ </t>
  </si>
  <si>
    <t>ՀՀ շրջակա միջավայրի նախարարություն</t>
  </si>
  <si>
    <t>ՀՀ սննդամթերքի անվտանգության տեսչական մարմին</t>
  </si>
  <si>
    <t xml:space="preserve">ՀՀ տարածքային կառավարման և 
ենթակառուցվածքների նախարարություն
</t>
  </si>
  <si>
    <t xml:space="preserve"> </t>
  </si>
  <si>
    <t>Հայաստանի Հանրապետության պետական եկամուտների կոմիտեի մաքսային ծառայության առաջիկա հինգ տարիների զարգացման ռազմավարությունից բխող միջոցառումներ</t>
  </si>
  <si>
    <t>1.1.2</t>
  </si>
  <si>
    <t>Ընդամենը՝ 34 միջոցառում</t>
  </si>
  <si>
    <t>Ընդամենը՝ 18 միջոցառում</t>
  </si>
  <si>
    <t>Ընդամենը՝ 24 միջոցառում</t>
  </si>
  <si>
    <t>Ենթանպատակ 4.3․ Անձնակազմի համալրման և պահպանման կառավարման գործառույթների զարգացում</t>
  </si>
  <si>
    <t>Ընդամենը՝ 33 միջոցառում</t>
  </si>
  <si>
    <t>Ընդամենը՝ 115 միջոցառում</t>
  </si>
  <si>
    <t xml:space="preserve">ՊԵԿ
ԷՆ
ՏԿԵՆ
ՆԳՆ
ՊՆ
ԿԳՄՍՆ
ՇՄՆ
ԲՏԱՆ
ԱԱԾ
ՍԱՏՄ
ՄԱԿՊԿ
ՀԾԿՀ
</t>
  </si>
  <si>
    <t xml:space="preserve">
ԱԽ գրասենյակ</t>
  </si>
  <si>
    <t>ՀՀ անվտանգության խորհրդի գրասենյակ</t>
  </si>
  <si>
    <t xml:space="preserve">Ուղևորների նախնական տեղեկատվության (API) և Ուղևորների տվյալների գրանցման (PNR) համակարգերի ազգային անվտանգության տեղեկատվական համակարգերի (ներառյալ ՍԷԿՏ) և մաքսային մարմնի տեղեկատվական համակարգերի հետ ինտեգրման համար տեխնիկական առաջադրանքի ներկայացում ՀՀ ԱԱԾ (իրականացնող ՀՀ ԱԱԾ) և ՊԵԿ էլեկտրոնային կառավարման համակարգերի զարգացման և կատարելագործման խորհրդին (իրականացնող ՀՀ ՊԵԿ)՝ ՀՀ ժամանող, ՀՀ-ից մեկնող և տարանցիկ տեղափոխվող ուղևորների մասով
</t>
  </si>
  <si>
    <t>Համակարգերի ինտեգրվելու առաջարկները ներկայացվել, ներդրվել և ինտեգրվել են ՀՀ ԱԱԾ սահմանային կառավարման ՍԷԿՏ և ուղեվորնեի տեղեկատվության վերլուծության ՈՏՎՀ համակարգերին և ՊԵԿ միասնական ավտոմատացված տեղեկատվական համակարգին</t>
  </si>
  <si>
    <t>Մաքսային մարմինների ավտոմատացված կառավարման տեղեկատվական համակարգերի կառավարման և կիբեռանվտանգության կանոնակարգերի մշակում և ընդունում</t>
  </si>
  <si>
    <t xml:space="preserve">ա. Մաքսային մարմինների ավտոմատացված կառավարման տեղեկատվական համակարգերի կառավարման և կիբեռանվտանգության կանոնակարգերի մշակում  </t>
  </si>
  <si>
    <t>բ. Մաքսային մարմինների ավտոմատացված կառավարման տեղեկատվական համակարգերի կառավարման և կիբեռանվտանգության կանոնակարգերի հաստատում համապատասխան ներքին իրավական ակտով</t>
  </si>
  <si>
    <t>Մաքսային մարմինների ավտոմատացված կառավարման տեղեկատվական համակարգերի կառավարման և կիբեռանվտանգության կանոնակարգերը մշակված են</t>
  </si>
  <si>
    <t>Մաքսային մարմինների ավտոմատացված կառավարման տեղեկատվական համակարգերի կառավարման և կիբեռանվտանգության միջոցառումները իրականացվում են ընդունված կանոնակարգերին համապատասխան</t>
  </si>
  <si>
    <t>ՊԵԿ
ԲՏԱՆ</t>
  </si>
  <si>
    <r>
      <t xml:space="preserve">
ՊԵԿ
ԱԽ գրասենյակ
ԱԳՆ</t>
    </r>
    <r>
      <rPr>
        <b/>
        <sz val="10"/>
        <rFont val="GHEA Grapalat"/>
        <family val="3"/>
      </rPr>
      <t xml:space="preserve">
</t>
    </r>
    <r>
      <rPr>
        <sz val="10"/>
        <rFont val="GHEA Grapalat"/>
        <family val="3"/>
      </rPr>
      <t>ԱԱԾ
ՆԳՆ
ԱՆ
ՏԿԵՆ
ԲՏԱՆ</t>
    </r>
  </si>
  <si>
    <t>Ենթանպատակ 1․6 Արդյունավետ մաքսային օրենսդրություն</t>
  </si>
  <si>
    <t xml:space="preserve">ՀՀ ՊԵԿ լինելով հարկային և մաքսային գործառնությունների իրականացման առանցքային մարմին իր գործառույթների շրջանակներում մի շարք ընթացակարգեր իրականացնում է էլեկտրոնային կառավարման համակարգերի միջոցով, հավաքագրում, մշակում և պահպանում է մեծ ծավալի տվյալներ։ ՏՏ կառավարման, կիբեռանվտանգություն և տվյալների պաշտպանության հիմնահարցերը կարևոր նշանակություն են ձեռք բերում։ Այս առումով, կարևորվում է կանոնակարգերի մշակումը, որը կապահովի մաքսային մարմինների ավոտմատացված կառավարման տեղեկատվական համակարգերի   սպասարկման, արդիականացման և անվտանգության արձանագրություններ, որոնք կնպաստեն ՊԵԿ-ի կողմից իրականացվող գործառույթների հուսալիությանը: Համաշխարհային մասշտաբով կիբեռհարձակումների դեպքերի աճի հետ մեկտեղ, կիբեռանվտանգության կանոնակարգերը կարևոր է զգայուն տվյալների պաշտպանության, կիբեռգրոհների, հնարավոր հետևանքների  մինիմալացման համար:
</t>
  </si>
  <si>
    <t>գ․  կանոնավոր թարմացումների ժամանակացույցի և անհրաժեշտության դեպքում թարմացումների շրջանակի սահմանում՝ հիմնված փոփոխվող կանոնակարգերի, գործառնական կարիքների վրա</t>
  </si>
  <si>
    <t>ՊԵԿ
ԷՆ
ԲՏԱՆ
ՏԿԵՆ
ԱԱԾ
ՆԳՆ
ՍԱՏՄ</t>
  </si>
  <si>
    <t>ՊԵԿ
ՖՆ
ԷՆ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</si>
</sst>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_);_(* \(#,##0.0\);_(* &quot;-&quot;??_);_(@_)"/>
  </numFmts>
  <fonts count="20" x14ac:knownFonts="1">
    <font>
      <sz val="11"/>
      <color theme="1"/>
      <name val="Calibri"/>
      <family val="2"/>
      <scheme val="minor"/>
    </font>
    <font>
      <sz val="11"/>
      <color theme="1"/>
      <name val="Calibri"/>
      <family val="2"/>
      <scheme val="minor"/>
    </font>
    <font>
      <sz val="8"/>
      <name val="Calibri"/>
      <family val="2"/>
      <scheme val="minor"/>
    </font>
    <font>
      <b/>
      <sz val="10"/>
      <color theme="5" tint="0.79998168889431442"/>
      <name val="GHEA Grapalat"/>
      <family val="3"/>
    </font>
    <font>
      <sz val="10"/>
      <color theme="1"/>
      <name val="GHEA Grapalat"/>
      <family val="3"/>
    </font>
    <font>
      <b/>
      <sz val="10"/>
      <name val="GHEA Grapalat"/>
      <family val="3"/>
    </font>
    <font>
      <b/>
      <sz val="10"/>
      <color theme="1"/>
      <name val="GHEA Grapalat"/>
      <family val="3"/>
    </font>
    <font>
      <sz val="10"/>
      <name val="GHEA Grapalat"/>
      <family val="3"/>
    </font>
    <font>
      <i/>
      <sz val="10"/>
      <name val="GHEA Grapalat"/>
      <family val="3"/>
    </font>
    <font>
      <sz val="10"/>
      <color rgb="FF000000"/>
      <name val="GHEA Grapalat"/>
      <family val="3"/>
    </font>
    <font>
      <b/>
      <sz val="10"/>
      <color rgb="FF000000"/>
      <name val="GHEA Grapalat"/>
      <family val="3"/>
    </font>
    <font>
      <sz val="10"/>
      <color rgb="FFFF0000"/>
      <name val="GHEA Grapalat"/>
      <family val="3"/>
    </font>
    <font>
      <u/>
      <sz val="10"/>
      <color rgb="FFFF0000"/>
      <name val="GHEA Grapalat"/>
      <family val="3"/>
    </font>
    <font>
      <strike/>
      <sz val="10"/>
      <color rgb="FF000000"/>
      <name val="GHEA Grapalat"/>
      <family val="3"/>
    </font>
    <font>
      <strike/>
      <sz val="10"/>
      <name val="GHEA Grapalat"/>
      <family val="3"/>
    </font>
    <font>
      <strike/>
      <sz val="10"/>
      <color theme="1"/>
      <name val="GHEA Grapalat"/>
      <family val="3"/>
    </font>
    <font>
      <b/>
      <sz val="12"/>
      <color theme="5" tint="0.79998168889431442"/>
      <name val="GHEA Grapalat"/>
      <family val="3"/>
    </font>
    <font>
      <b/>
      <u/>
      <sz val="10"/>
      <name val="GHEA Grapalat"/>
      <family val="3"/>
    </font>
    <font>
      <i/>
      <sz val="10"/>
      <color theme="1"/>
      <name val="GHEA Grapalat"/>
      <family val="3"/>
    </font>
    <font>
      <b/>
      <i/>
      <sz val="10"/>
      <name val="GHEA Grapalat"/>
      <family val="3"/>
    </font>
  </fonts>
  <fills count="12">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4" fillId="0" borderId="0" xfId="0" applyFont="1" applyAlignment="1">
      <alignment horizontal="center" vertical="top"/>
    </xf>
    <xf numFmtId="0" fontId="4"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4" fillId="0" borderId="1" xfId="0" applyFont="1" applyBorder="1" applyAlignment="1">
      <alignment horizontal="center" vertical="top"/>
    </xf>
    <xf numFmtId="164" fontId="4" fillId="0" borderId="1" xfId="2" applyNumberFormat="1" applyFont="1" applyFill="1" applyBorder="1" applyAlignment="1">
      <alignment horizontal="center" vertical="top"/>
    </xf>
    <xf numFmtId="0" fontId="4" fillId="0" borderId="1" xfId="0" applyFont="1" applyBorder="1" applyAlignment="1">
      <alignment horizontal="center" vertical="top" wrapText="1"/>
    </xf>
    <xf numFmtId="43" fontId="4" fillId="0" borderId="1" xfId="2" applyFont="1" applyFill="1" applyBorder="1" applyAlignment="1">
      <alignment horizontal="center" vertical="top"/>
    </xf>
    <xf numFmtId="164" fontId="4" fillId="0" borderId="1" xfId="0" applyNumberFormat="1" applyFont="1" applyBorder="1" applyAlignment="1">
      <alignment horizontal="center" vertical="top"/>
    </xf>
    <xf numFmtId="164" fontId="4" fillId="0" borderId="1" xfId="0" applyNumberFormat="1" applyFont="1" applyBorder="1" applyAlignment="1">
      <alignment horizontal="left" vertical="top" indent="2"/>
    </xf>
    <xf numFmtId="164" fontId="4" fillId="0" borderId="1" xfId="2" applyNumberFormat="1" applyFont="1" applyFill="1" applyBorder="1" applyAlignment="1">
      <alignment horizontal="left" vertical="top" indent="2"/>
    </xf>
    <xf numFmtId="165" fontId="4" fillId="0" borderId="1" xfId="2" applyNumberFormat="1" applyFont="1" applyFill="1" applyBorder="1" applyAlignment="1">
      <alignment horizontal="center" vertical="center"/>
    </xf>
    <xf numFmtId="43" fontId="4" fillId="0" borderId="1" xfId="0" applyNumberFormat="1" applyFont="1" applyBorder="1" applyAlignment="1">
      <alignment horizontal="center" vertical="top"/>
    </xf>
    <xf numFmtId="164" fontId="4" fillId="0" borderId="1" xfId="2" applyNumberFormat="1" applyFont="1" applyFill="1" applyBorder="1" applyAlignment="1">
      <alignment horizontal="left" vertical="top"/>
    </xf>
    <xf numFmtId="164" fontId="4" fillId="0" borderId="1" xfId="2" applyNumberFormat="1"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wrapText="1"/>
    </xf>
    <xf numFmtId="0" fontId="9" fillId="0" borderId="1" xfId="0" applyFont="1" applyBorder="1" applyAlignment="1">
      <alignment horizontal="center" vertical="top" wrapText="1"/>
    </xf>
    <xf numFmtId="0" fontId="4" fillId="0" borderId="1" xfId="0" applyFont="1" applyBorder="1"/>
    <xf numFmtId="165" fontId="4" fillId="0" borderId="1" xfId="2" applyNumberFormat="1" applyFont="1" applyFill="1" applyBorder="1" applyAlignment="1">
      <alignment horizontal="left" vertical="top"/>
    </xf>
    <xf numFmtId="3" fontId="4" fillId="0" borderId="1" xfId="2" applyNumberFormat="1" applyFont="1" applyFill="1" applyBorder="1" applyAlignment="1">
      <alignment horizontal="right" vertical="top"/>
    </xf>
    <xf numFmtId="3" fontId="4" fillId="0" borderId="1" xfId="0" applyNumberFormat="1" applyFont="1" applyBorder="1" applyAlignment="1">
      <alignment horizontal="right" vertical="top"/>
    </xf>
    <xf numFmtId="37" fontId="4" fillId="0" borderId="3" xfId="2" applyNumberFormat="1" applyFont="1" applyFill="1" applyBorder="1" applyAlignment="1">
      <alignment horizontal="right" vertical="top"/>
    </xf>
    <xf numFmtId="37" fontId="4" fillId="0" borderId="1" xfId="2" applyNumberFormat="1" applyFont="1" applyFill="1" applyBorder="1" applyAlignment="1">
      <alignment horizontal="right" vertical="top"/>
    </xf>
    <xf numFmtId="0" fontId="4" fillId="0" borderId="1" xfId="0" applyFont="1" applyBorder="1" applyAlignment="1">
      <alignment horizontal="left" vertical="top" wrapText="1"/>
    </xf>
    <xf numFmtId="0" fontId="4" fillId="0" borderId="1" xfId="0" applyFont="1" applyBorder="1" applyAlignment="1">
      <alignment horizontal="right" vertical="top"/>
    </xf>
    <xf numFmtId="0" fontId="4" fillId="0" borderId="0" xfId="0" applyFont="1" applyAlignment="1">
      <alignment horizontal="center"/>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7" fillId="7" borderId="0" xfId="0" applyFont="1" applyFill="1" applyAlignment="1">
      <alignment horizontal="left" vertical="top" wrapText="1"/>
    </xf>
    <xf numFmtId="0" fontId="4" fillId="0" borderId="4" xfId="0" applyFont="1" applyBorder="1" applyAlignment="1">
      <alignment horizontal="left" vertical="top" wrapText="1"/>
    </xf>
    <xf numFmtId="164" fontId="7" fillId="0" borderId="1" xfId="2" applyNumberFormat="1" applyFont="1" applyFill="1" applyBorder="1" applyAlignment="1">
      <alignment horizontal="left" vertical="top"/>
    </xf>
    <xf numFmtId="0" fontId="7" fillId="0" borderId="1" xfId="0" applyFont="1" applyBorder="1" applyAlignment="1">
      <alignment vertical="top" wrapText="1"/>
    </xf>
    <xf numFmtId="0" fontId="7" fillId="0" borderId="0" xfId="0" applyFont="1"/>
    <xf numFmtId="0" fontId="4" fillId="0" borderId="1" xfId="0" applyFont="1" applyBorder="1" applyAlignment="1">
      <alignment vertical="top"/>
    </xf>
    <xf numFmtId="49" fontId="7" fillId="0" borderId="1" xfId="0" applyNumberFormat="1" applyFont="1" applyBorder="1" applyAlignment="1" applyProtection="1">
      <alignment horizontal="center" vertical="center" wrapText="1" readingOrder="1"/>
      <protection locked="0"/>
    </xf>
    <xf numFmtId="0" fontId="4" fillId="0" borderId="1" xfId="0" applyFont="1" applyBorder="1" applyAlignment="1">
      <alignment horizontal="center" vertical="center"/>
    </xf>
    <xf numFmtId="49" fontId="7" fillId="0" borderId="1" xfId="0" applyNumberFormat="1" applyFont="1" applyBorder="1" applyAlignment="1" applyProtection="1">
      <alignment horizontal="center" vertical="top" wrapText="1" readingOrder="1"/>
      <protection locked="0"/>
    </xf>
    <xf numFmtId="0" fontId="4" fillId="0" borderId="0" xfId="0" applyFont="1" applyAlignment="1">
      <alignment horizontal="left" vertical="top" wrapText="1"/>
    </xf>
    <xf numFmtId="0" fontId="4" fillId="8" borderId="0" xfId="0" applyFont="1" applyFill="1" applyAlignment="1">
      <alignment horizontal="center" vertical="top"/>
    </xf>
    <xf numFmtId="0" fontId="4" fillId="6" borderId="0" xfId="0" applyFont="1" applyFill="1" applyAlignment="1">
      <alignment horizontal="center" vertical="top"/>
    </xf>
    <xf numFmtId="49" fontId="17" fillId="0" borderId="0" xfId="0" applyNumberFormat="1" applyFont="1" applyAlignment="1">
      <alignment vertical="top"/>
    </xf>
    <xf numFmtId="49" fontId="7" fillId="0" borderId="0" xfId="0" applyNumberFormat="1" applyFont="1" applyAlignment="1">
      <alignment vertical="top"/>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vertical="center"/>
    </xf>
    <xf numFmtId="49" fontId="7" fillId="0" borderId="0" xfId="0" applyNumberFormat="1" applyFont="1" applyAlignment="1">
      <alignment horizontal="left" vertical="top" wrapText="1"/>
    </xf>
    <xf numFmtId="49" fontId="7" fillId="0" borderId="0" xfId="0" applyNumberFormat="1" applyFont="1" applyAlignment="1">
      <alignment horizontal="left" vertical="top"/>
    </xf>
    <xf numFmtId="0" fontId="5" fillId="4" borderId="1" xfId="0" applyFont="1" applyFill="1" applyBorder="1" applyAlignment="1">
      <alignment horizontal="center" vertical="center"/>
    </xf>
    <xf numFmtId="0" fontId="5" fillId="3" borderId="3" xfId="0" applyFont="1" applyFill="1" applyBorder="1" applyAlignment="1">
      <alignment horizontal="center" vertical="center"/>
    </xf>
    <xf numFmtId="0" fontId="18" fillId="0" borderId="0" xfId="0" applyFont="1" applyAlignment="1">
      <alignment horizontal="right" wrapText="1"/>
    </xf>
    <xf numFmtId="0" fontId="8" fillId="5" borderId="6" xfId="0" applyFont="1" applyFill="1" applyBorder="1" applyAlignment="1">
      <alignment horizontal="left" vertical="top"/>
    </xf>
    <xf numFmtId="0" fontId="8" fillId="5" borderId="7" xfId="0" applyFont="1" applyFill="1" applyBorder="1" applyAlignment="1">
      <alignment horizontal="left" vertical="top"/>
    </xf>
    <xf numFmtId="0" fontId="8" fillId="5" borderId="5" xfId="0" applyFont="1" applyFill="1" applyBorder="1" applyAlignment="1">
      <alignment vertical="top"/>
    </xf>
    <xf numFmtId="0" fontId="8" fillId="5" borderId="6" xfId="0" applyFont="1" applyFill="1" applyBorder="1" applyAlignment="1">
      <alignment vertical="top"/>
    </xf>
    <xf numFmtId="0" fontId="8" fillId="5" borderId="7" xfId="0" applyFont="1" applyFill="1" applyBorder="1" applyAlignment="1">
      <alignment vertical="top"/>
    </xf>
    <xf numFmtId="164" fontId="8" fillId="5" borderId="6" xfId="0" applyNumberFormat="1" applyFont="1" applyFill="1" applyBorder="1" applyAlignment="1">
      <alignment horizontal="left" vertical="top"/>
    </xf>
    <xf numFmtId="0" fontId="4" fillId="9" borderId="1" xfId="0" applyFont="1" applyFill="1" applyBorder="1"/>
    <xf numFmtId="0" fontId="4" fillId="9" borderId="1" xfId="0" applyFont="1" applyFill="1" applyBorder="1" applyAlignment="1">
      <alignment horizontal="center" vertical="top"/>
    </xf>
    <xf numFmtId="164" fontId="19" fillId="5" borderId="6" xfId="0" applyNumberFormat="1" applyFont="1" applyFill="1" applyBorder="1" applyAlignment="1">
      <alignment vertical="top"/>
    </xf>
    <xf numFmtId="0" fontId="19" fillId="5" borderId="5" xfId="0" applyFont="1" applyFill="1" applyBorder="1" applyAlignment="1">
      <alignment horizontal="left" vertical="top"/>
    </xf>
    <xf numFmtId="0" fontId="19" fillId="5" borderId="6" xfId="0" applyFont="1" applyFill="1" applyBorder="1" applyAlignment="1">
      <alignment horizontal="left" vertical="top"/>
    </xf>
    <xf numFmtId="0" fontId="4" fillId="0" borderId="1" xfId="0" applyFont="1" applyFill="1" applyBorder="1" applyAlignment="1">
      <alignment horizontal="center" vertical="top" wrapText="1"/>
    </xf>
    <xf numFmtId="0" fontId="4" fillId="0" borderId="0" xfId="0" applyFont="1" applyAlignment="1"/>
    <xf numFmtId="0" fontId="4" fillId="0" borderId="4" xfId="0" applyFont="1" applyBorder="1" applyAlignment="1">
      <alignment horizontal="center"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164" fontId="4" fillId="0" borderId="3" xfId="2" applyNumberFormat="1" applyFont="1" applyFill="1" applyBorder="1" applyAlignment="1">
      <alignment horizontal="center" vertical="top"/>
    </xf>
    <xf numFmtId="164" fontId="4" fillId="0" borderId="4" xfId="2" applyNumberFormat="1" applyFont="1" applyFill="1" applyBorder="1" applyAlignment="1">
      <alignment horizontal="center" vertical="top"/>
    </xf>
    <xf numFmtId="0" fontId="9" fillId="0" borderId="4" xfId="0" applyFont="1" applyBorder="1" applyAlignment="1">
      <alignment horizontal="center"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5" borderId="1" xfId="0" applyFont="1" applyFill="1" applyBorder="1"/>
    <xf numFmtId="164" fontId="4" fillId="5" borderId="1" xfId="0" applyNumberFormat="1" applyFont="1" applyFill="1" applyBorder="1"/>
    <xf numFmtId="0" fontId="4" fillId="5" borderId="1" xfId="0" applyFont="1" applyFill="1" applyBorder="1" applyAlignment="1">
      <alignment horizontal="center" vertical="top"/>
    </xf>
    <xf numFmtId="0" fontId="4" fillId="3" borderId="1" xfId="0" applyFont="1" applyFill="1" applyBorder="1"/>
    <xf numFmtId="0" fontId="4" fillId="3" borderId="1" xfId="0" applyFont="1" applyFill="1" applyBorder="1" applyAlignment="1">
      <alignment horizontal="center" vertical="top"/>
    </xf>
    <xf numFmtId="164" fontId="4" fillId="9" borderId="1" xfId="0" applyNumberFormat="1" applyFont="1" applyFill="1" applyBorder="1"/>
    <xf numFmtId="0" fontId="8" fillId="5" borderId="1" xfId="0" applyFont="1" applyFill="1" applyBorder="1" applyAlignment="1">
      <alignment horizontal="left" vertical="top"/>
    </xf>
    <xf numFmtId="164" fontId="19" fillId="5" borderId="1" xfId="0" applyNumberFormat="1" applyFont="1" applyFill="1" applyBorder="1" applyAlignment="1">
      <alignment horizontal="left" vertical="top"/>
    </xf>
    <xf numFmtId="0" fontId="4" fillId="4" borderId="1" xfId="0" applyFont="1" applyFill="1" applyBorder="1"/>
    <xf numFmtId="0" fontId="4" fillId="4" borderId="1" xfId="0" applyFont="1" applyFill="1" applyBorder="1" applyAlignment="1">
      <alignment horizontal="center" vertical="top"/>
    </xf>
    <xf numFmtId="0" fontId="4" fillId="11" borderId="1" xfId="0" applyFont="1" applyFill="1" applyBorder="1"/>
    <xf numFmtId="0" fontId="4" fillId="11" borderId="1" xfId="0" applyFont="1" applyFill="1" applyBorder="1" applyAlignment="1">
      <alignment horizontal="center" vertical="top"/>
    </xf>
    <xf numFmtId="0" fontId="4" fillId="10" borderId="1" xfId="0" applyFont="1" applyFill="1" applyBorder="1" applyAlignment="1">
      <alignment horizontal="center" vertical="top"/>
    </xf>
    <xf numFmtId="0" fontId="4" fillId="5" borderId="1" xfId="0" applyFont="1" applyFill="1" applyBorder="1" applyAlignment="1">
      <alignment horizontal="center"/>
    </xf>
    <xf numFmtId="0" fontId="4" fillId="11"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164" fontId="6" fillId="5" borderId="1" xfId="0" applyNumberFormat="1" applyFont="1" applyFill="1" applyBorder="1"/>
    <xf numFmtId="0" fontId="4" fillId="0" borderId="3" xfId="0" applyFont="1" applyBorder="1" applyAlignment="1">
      <alignment vertical="top" wrapText="1"/>
    </xf>
    <xf numFmtId="164" fontId="4" fillId="0" borderId="4" xfId="2" applyNumberFormat="1" applyFont="1" applyFill="1" applyBorder="1" applyAlignment="1">
      <alignment horizontal="left" vertical="top"/>
    </xf>
    <xf numFmtId="0" fontId="4" fillId="0" borderId="4" xfId="0" applyFont="1" applyBorder="1" applyAlignment="1">
      <alignment vertical="top" wrapText="1"/>
    </xf>
    <xf numFmtId="164" fontId="4" fillId="5" borderId="1" xfId="2" applyNumberFormat="1" applyFont="1" applyFill="1" applyBorder="1" applyAlignment="1">
      <alignment horizontal="center" vertical="top"/>
    </xf>
    <xf numFmtId="0" fontId="4" fillId="5" borderId="1" xfId="0" applyFont="1" applyFill="1" applyBorder="1" applyAlignment="1">
      <alignment vertical="top" wrapText="1"/>
    </xf>
    <xf numFmtId="0" fontId="9" fillId="0" borderId="4" xfId="0" applyFont="1" applyBorder="1" applyAlignment="1">
      <alignment horizontal="left" vertical="top" wrapText="1"/>
    </xf>
    <xf numFmtId="164" fontId="4" fillId="9" borderId="1" xfId="2" applyNumberFormat="1" applyFont="1" applyFill="1" applyBorder="1" applyAlignment="1">
      <alignment horizontal="center" vertical="top"/>
    </xf>
    <xf numFmtId="164" fontId="4" fillId="9" borderId="1" xfId="2" applyNumberFormat="1" applyFont="1" applyFill="1" applyBorder="1" applyAlignment="1">
      <alignment horizontal="left" vertical="top"/>
    </xf>
    <xf numFmtId="0" fontId="4" fillId="9" borderId="1" xfId="0" applyFont="1" applyFill="1" applyBorder="1" applyAlignment="1">
      <alignment vertical="top" wrapText="1"/>
    </xf>
    <xf numFmtId="0" fontId="4" fillId="9" borderId="1" xfId="0" applyFont="1" applyFill="1" applyBorder="1" applyAlignment="1">
      <alignment horizontal="center" vertical="top" wrapText="1"/>
    </xf>
    <xf numFmtId="0" fontId="11" fillId="3" borderId="1" xfId="0" applyFont="1" applyFill="1" applyBorder="1" applyAlignment="1">
      <alignment horizontal="center" vertical="top"/>
    </xf>
    <xf numFmtId="0" fontId="4" fillId="0" borderId="4" xfId="0" applyFont="1" applyBorder="1" applyAlignment="1">
      <alignment vertical="top"/>
    </xf>
    <xf numFmtId="49" fontId="7" fillId="0" borderId="4" xfId="0" applyNumberFormat="1" applyFont="1" applyBorder="1" applyAlignment="1" applyProtection="1">
      <alignment horizontal="center" vertical="center" wrapText="1" readingOrder="1"/>
      <protection locked="0"/>
    </xf>
    <xf numFmtId="0" fontId="4" fillId="0" borderId="4" xfId="0" applyFont="1" applyBorder="1" applyAlignment="1">
      <alignment horizontal="center" vertical="center"/>
    </xf>
    <xf numFmtId="164" fontId="4" fillId="10" borderId="1" xfId="2" applyNumberFormat="1" applyFont="1" applyFill="1" applyBorder="1" applyAlignment="1">
      <alignment horizontal="center"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center" vertical="top" wrapText="1"/>
    </xf>
    <xf numFmtId="0" fontId="4" fillId="5" borderId="1" xfId="0" applyFont="1" applyFill="1" applyBorder="1" applyAlignment="1">
      <alignment horizontal="center" vertical="top" wrapText="1"/>
    </xf>
    <xf numFmtId="164" fontId="4" fillId="5" borderId="1" xfId="2" applyNumberFormat="1" applyFont="1" applyFill="1" applyBorder="1" applyAlignment="1">
      <alignment horizontal="left" vertical="top"/>
    </xf>
    <xf numFmtId="49" fontId="4" fillId="5" borderId="1" xfId="0" applyNumberFormat="1" applyFont="1" applyFill="1" applyBorder="1" applyAlignment="1">
      <alignment horizontal="center" vertical="top"/>
    </xf>
    <xf numFmtId="0" fontId="9"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6" fillId="10" borderId="0" xfId="0" applyNumberFormat="1" applyFont="1" applyFill="1"/>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164" fontId="4" fillId="0" borderId="3" xfId="2" applyNumberFormat="1" applyFont="1" applyFill="1" applyBorder="1" applyAlignment="1">
      <alignment horizontal="center" vertical="top"/>
    </xf>
    <xf numFmtId="164" fontId="4" fillId="0" borderId="4" xfId="2" applyNumberFormat="1" applyFont="1" applyFill="1" applyBorder="1" applyAlignment="1">
      <alignment horizontal="center" vertical="top"/>
    </xf>
    <xf numFmtId="0" fontId="4" fillId="0" borderId="2" xfId="0" applyFont="1" applyBorder="1" applyAlignment="1">
      <alignment horizontal="center" vertical="top"/>
    </xf>
    <xf numFmtId="37" fontId="4" fillId="0" borderId="3" xfId="2" applyNumberFormat="1" applyFont="1" applyFill="1" applyBorder="1" applyAlignment="1">
      <alignment horizontal="right" vertical="top"/>
    </xf>
    <xf numFmtId="37" fontId="4" fillId="0" borderId="2" xfId="2" applyNumberFormat="1" applyFont="1" applyFill="1" applyBorder="1" applyAlignment="1">
      <alignment horizontal="right" vertical="top"/>
    </xf>
    <xf numFmtId="37" fontId="4" fillId="0" borderId="4" xfId="2" applyNumberFormat="1" applyFont="1" applyFill="1" applyBorder="1" applyAlignment="1">
      <alignment horizontal="right" vertical="top"/>
    </xf>
    <xf numFmtId="164" fontId="4" fillId="0" borderId="2" xfId="2" applyNumberFormat="1" applyFont="1" applyFill="1" applyBorder="1" applyAlignment="1">
      <alignment horizontal="center" vertical="top"/>
    </xf>
    <xf numFmtId="0" fontId="4" fillId="0" borderId="1" xfId="0" applyFont="1" applyBorder="1" applyAlignment="1">
      <alignment horizontal="center" vertical="top"/>
    </xf>
    <xf numFmtId="9" fontId="4" fillId="0" borderId="1" xfId="0" applyNumberFormat="1" applyFont="1" applyBorder="1" applyAlignment="1">
      <alignment horizontal="center" vertical="top"/>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9" fontId="4" fillId="0" borderId="1" xfId="0" applyNumberFormat="1" applyFont="1" applyBorder="1" applyAlignment="1">
      <alignment horizontal="center" vertical="top" wrapText="1"/>
    </xf>
    <xf numFmtId="0" fontId="8" fillId="5" borderId="5" xfId="0" applyFont="1" applyFill="1" applyBorder="1" applyAlignment="1">
      <alignment horizontal="left" vertical="top"/>
    </xf>
    <xf numFmtId="0" fontId="8" fillId="5" borderId="6" xfId="0" applyFont="1" applyFill="1" applyBorder="1" applyAlignment="1">
      <alignment horizontal="left" vertical="top"/>
    </xf>
    <xf numFmtId="0" fontId="8" fillId="5" borderId="7" xfId="0" applyFont="1" applyFill="1" applyBorder="1" applyAlignment="1">
      <alignment horizontal="left" vertical="top"/>
    </xf>
    <xf numFmtId="0" fontId="8" fillId="5" borderId="1" xfId="0" applyFont="1" applyFill="1" applyBorder="1" applyAlignment="1">
      <alignment horizontal="left" vertical="top"/>
    </xf>
    <xf numFmtId="49" fontId="4"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9" fontId="4" fillId="0" borderId="3" xfId="0" applyNumberFormat="1" applyFont="1" applyBorder="1" applyAlignment="1">
      <alignment horizontal="center" vertical="top" wrapText="1"/>
    </xf>
    <xf numFmtId="9" fontId="4" fillId="0" borderId="2" xfId="0" applyNumberFormat="1" applyFont="1" applyBorder="1" applyAlignment="1">
      <alignment horizontal="center" vertical="top" wrapText="1"/>
    </xf>
    <xf numFmtId="0" fontId="10" fillId="3" borderId="5" xfId="0" applyFont="1" applyFill="1" applyBorder="1" applyAlignment="1">
      <alignment horizontal="center" vertical="top"/>
    </xf>
    <xf numFmtId="0" fontId="10" fillId="3" borderId="6" xfId="0" applyFont="1" applyFill="1" applyBorder="1" applyAlignment="1">
      <alignment horizontal="center" vertical="top"/>
    </xf>
    <xf numFmtId="0" fontId="10" fillId="3" borderId="7" xfId="0" applyFont="1" applyFill="1" applyBorder="1" applyAlignment="1">
      <alignment horizontal="center" vertical="top"/>
    </xf>
    <xf numFmtId="0" fontId="10" fillId="11" borderId="1" xfId="0" applyFont="1" applyFill="1" applyBorder="1" applyAlignment="1">
      <alignment horizontal="center" vertical="top"/>
    </xf>
    <xf numFmtId="49" fontId="4" fillId="0" borderId="4" xfId="0" applyNumberFormat="1" applyFont="1" applyBorder="1" applyAlignment="1">
      <alignment horizontal="center" vertical="top" wrapText="1"/>
    </xf>
    <xf numFmtId="0" fontId="9" fillId="0" borderId="4" xfId="0" applyFont="1" applyBorder="1" applyAlignment="1">
      <alignment horizontal="center" vertical="top" wrapText="1"/>
    </xf>
    <xf numFmtId="0" fontId="10" fillId="3" borderId="1" xfId="0" applyFont="1" applyFill="1" applyBorder="1" applyAlignment="1">
      <alignment horizontal="center" vertical="top"/>
    </xf>
    <xf numFmtId="0" fontId="7" fillId="0" borderId="2" xfId="0" applyFont="1" applyBorder="1" applyAlignment="1">
      <alignment horizontal="center" vertical="top" wrapText="1"/>
    </xf>
    <xf numFmtId="14" fontId="4" fillId="0" borderId="3" xfId="0" applyNumberFormat="1" applyFont="1" applyBorder="1" applyAlignment="1">
      <alignment horizontal="center" vertical="top"/>
    </xf>
    <xf numFmtId="0" fontId="9" fillId="0" borderId="3" xfId="0" applyFont="1" applyBorder="1" applyAlignment="1">
      <alignment horizontal="center" vertical="top"/>
    </xf>
    <xf numFmtId="0" fontId="9" fillId="0" borderId="2" xfId="0" applyFont="1" applyBorder="1" applyAlignment="1">
      <alignment horizontal="center" vertical="top"/>
    </xf>
    <xf numFmtId="0" fontId="9" fillId="0" borderId="4" xfId="0" applyFont="1" applyBorder="1" applyAlignment="1">
      <alignment horizontal="center" vertical="top"/>
    </xf>
    <xf numFmtId="0" fontId="9" fillId="0" borderId="1" xfId="0" applyFont="1" applyBorder="1" applyAlignment="1">
      <alignment horizontal="center" vertical="top" wrapText="1"/>
    </xf>
    <xf numFmtId="14" fontId="4" fillId="0" borderId="3" xfId="0" applyNumberFormat="1" applyFont="1" applyBorder="1" applyAlignment="1">
      <alignment horizontal="center" vertical="top" wrapText="1"/>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4" xfId="0" applyFont="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7" xfId="0" applyFont="1" applyFill="1" applyBorder="1" applyAlignment="1">
      <alignment horizontal="center" vertical="top"/>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6" fillId="4" borderId="5" xfId="0" applyFont="1" applyFill="1" applyBorder="1" applyAlignment="1">
      <alignment horizontal="center" vertical="top"/>
    </xf>
    <xf numFmtId="0" fontId="6" fillId="4" borderId="6" xfId="0" applyFont="1" applyFill="1" applyBorder="1" applyAlignment="1">
      <alignment horizontal="center" vertical="top"/>
    </xf>
    <xf numFmtId="0" fontId="6" fillId="4" borderId="7" xfId="0" applyFont="1" applyFill="1" applyBorder="1" applyAlignment="1">
      <alignment horizontal="center" vertical="top"/>
    </xf>
    <xf numFmtId="49" fontId="7" fillId="0" borderId="1" xfId="0" applyNumberFormat="1" applyFont="1" applyBorder="1" applyAlignment="1" applyProtection="1">
      <alignment horizontal="center" vertical="top" wrapText="1" readingOrder="1"/>
      <protection locked="0"/>
    </xf>
    <xf numFmtId="9" fontId="7" fillId="0" borderId="1" xfId="0" applyNumberFormat="1" applyFont="1" applyBorder="1" applyAlignment="1">
      <alignment horizontal="center" vertical="top" wrapText="1"/>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8" fillId="5" borderId="4" xfId="0" applyFont="1" applyFill="1" applyBorder="1" applyAlignment="1">
      <alignment horizontal="left" vertical="top"/>
    </xf>
    <xf numFmtId="0" fontId="5" fillId="3" borderId="3" xfId="0" applyFont="1" applyFill="1" applyBorder="1" applyAlignment="1">
      <alignment horizontal="center" vertical="top"/>
    </xf>
    <xf numFmtId="9" fontId="9" fillId="0" borderId="1" xfId="0" applyNumberFormat="1" applyFont="1" applyBorder="1" applyAlignment="1">
      <alignment horizontal="center" vertical="top"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9" fillId="0" borderId="1" xfId="0" applyFont="1" applyBorder="1" applyAlignment="1">
      <alignment horizontal="center" vertical="top"/>
    </xf>
    <xf numFmtId="0" fontId="8" fillId="5" borderId="5" xfId="0" applyFont="1" applyFill="1" applyBorder="1" applyAlignment="1">
      <alignment vertical="top"/>
    </xf>
    <xf numFmtId="0" fontId="8" fillId="5" borderId="6" xfId="0" applyFont="1" applyFill="1" applyBorder="1" applyAlignment="1">
      <alignment vertical="top"/>
    </xf>
    <xf numFmtId="0" fontId="8" fillId="5" borderId="7" xfId="0" applyFont="1" applyFill="1" applyBorder="1" applyAlignment="1">
      <alignment vertical="top"/>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7" fillId="5" borderId="5" xfId="0" applyFont="1" applyFill="1" applyBorder="1" applyAlignment="1">
      <alignment horizontal="center" vertical="top"/>
    </xf>
    <xf numFmtId="0" fontId="7" fillId="5" borderId="6" xfId="0" applyFont="1" applyFill="1" applyBorder="1" applyAlignment="1">
      <alignment horizontal="center" vertical="top"/>
    </xf>
    <xf numFmtId="0" fontId="7" fillId="5" borderId="7" xfId="0" applyFont="1" applyFill="1" applyBorder="1" applyAlignment="1">
      <alignment horizontal="center" vertical="top"/>
    </xf>
    <xf numFmtId="9" fontId="4" fillId="0" borderId="1" xfId="1" applyFont="1" applyFill="1" applyBorder="1" applyAlignment="1">
      <alignment horizontal="center" vertical="top" wrapText="1"/>
    </xf>
    <xf numFmtId="9" fontId="4" fillId="0" borderId="1" xfId="1" applyFont="1" applyFill="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14" fontId="7" fillId="0" borderId="3"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3" xfId="0" applyFont="1" applyBorder="1" applyAlignment="1">
      <alignment horizontal="center" vertical="top" wrapText="1"/>
    </xf>
    <xf numFmtId="0" fontId="19" fillId="5" borderId="5" xfId="0" applyFont="1" applyFill="1" applyBorder="1" applyAlignment="1">
      <alignment horizontal="left" vertical="top"/>
    </xf>
    <xf numFmtId="0" fontId="19" fillId="5" borderId="6" xfId="0" applyFont="1" applyFill="1" applyBorder="1" applyAlignment="1">
      <alignment horizontal="left" vertical="top"/>
    </xf>
    <xf numFmtId="0" fontId="19" fillId="5" borderId="7" xfId="0" applyFont="1" applyFill="1" applyBorder="1" applyAlignment="1">
      <alignment horizontal="left" vertical="top"/>
    </xf>
    <xf numFmtId="0" fontId="16" fillId="6" borderId="8" xfId="0" applyFont="1" applyFill="1" applyBorder="1" applyAlignment="1">
      <alignment horizontal="center" vertical="center"/>
    </xf>
    <xf numFmtId="0" fontId="3" fillId="6" borderId="8" xfId="0" applyFont="1" applyFill="1" applyBorder="1" applyAlignment="1">
      <alignment horizontal="center" vertical="center"/>
    </xf>
    <xf numFmtId="164" fontId="4" fillId="0" borderId="1" xfId="2" applyNumberFormat="1" applyFont="1" applyFill="1" applyBorder="1" applyAlignment="1">
      <alignment horizontal="center" vertical="top"/>
    </xf>
    <xf numFmtId="0" fontId="6" fillId="2" borderId="1" xfId="0" applyFont="1" applyFill="1" applyBorder="1" applyAlignment="1">
      <alignment horizontal="center" vertical="center"/>
    </xf>
    <xf numFmtId="0" fontId="5" fillId="3" borderId="3" xfId="0" applyFont="1" applyFill="1" applyBorder="1" applyAlignment="1">
      <alignment horizontal="center" vertical="center"/>
    </xf>
    <xf numFmtId="3" fontId="4" fillId="0" borderId="1" xfId="0" applyNumberFormat="1" applyFont="1" applyBorder="1" applyAlignment="1">
      <alignment horizontal="center" vertical="top"/>
    </xf>
    <xf numFmtId="43" fontId="4" fillId="0" borderId="1" xfId="2" applyFont="1" applyFill="1" applyBorder="1" applyAlignment="1">
      <alignment horizontal="center" vertical="top"/>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usanna Yeghiazaryan" id="{25D4496E-644B-4672-84DD-481FDAAB211C}" userId="29620f6a4572a75f" providerId="Windows Live"/>
</personList>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51" dT="2024-04-01T14:05:15.60" personId="{25D4496E-644B-4672-84DD-481FDAAB211C}" id="{B1CCE513-0320-4D59-AE64-7854702D0E3E}">
    <text>Կարմիր րտառերով նշվածը պետք է ջնջել</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1"/>
  <sheetViews>
    <sheetView tabSelected="1" topLeftCell="A175" zoomScale="90" zoomScaleNormal="90" workbookViewId="0">
      <selection activeCell="A181" sqref="A181:I181"/>
    </sheetView>
  </sheetViews>
  <sheetFormatPr defaultColWidth="8.7109375" defaultRowHeight="13.5" x14ac:dyDescent="0.25"/>
  <cols>
    <col min="1" max="1" width="28.28515625" style="2" customWidth="1"/>
    <col min="2" max="2" width="42.42578125" style="29" customWidth="1"/>
    <col min="3" max="3" width="32.85546875" style="2" customWidth="1"/>
    <col min="4" max="4" width="60.42578125" style="2" customWidth="1"/>
    <col min="5" max="5" width="29.28515625" style="2" customWidth="1"/>
    <col min="6" max="6" width="22.5703125" style="2" customWidth="1"/>
    <col min="7" max="7" width="18" style="2" customWidth="1"/>
    <col min="8" max="8" width="21.7109375" style="2" customWidth="1"/>
    <col min="9" max="9" width="23.28515625" style="2" customWidth="1"/>
    <col min="10" max="10" width="14.140625" style="2" customWidth="1"/>
    <col min="11" max="11" width="14.140625" style="2" bestFit="1" customWidth="1"/>
    <col min="12" max="12" width="14.5703125" style="2" bestFit="1" customWidth="1"/>
    <col min="13" max="13" width="13.140625" style="2" bestFit="1" customWidth="1"/>
    <col min="14" max="15" width="13.7109375" style="2" bestFit="1" customWidth="1"/>
    <col min="16" max="16" width="14.42578125" style="2" bestFit="1" customWidth="1"/>
    <col min="17" max="17" width="48.85546875" style="2" customWidth="1"/>
    <col min="18" max="18" width="43.28515625" style="1" customWidth="1"/>
    <col min="19" max="16384" width="8.7109375" style="2"/>
  </cols>
  <sheetData>
    <row r="1" spans="1:18" ht="55.5" customHeight="1" x14ac:dyDescent="0.25">
      <c r="R1" s="53" t="s">
        <v>1322</v>
      </c>
    </row>
    <row r="5" spans="1:18" ht="40.9" customHeight="1" x14ac:dyDescent="0.25">
      <c r="A5" s="210" t="s">
        <v>1356</v>
      </c>
      <c r="B5" s="211"/>
      <c r="C5" s="211"/>
      <c r="D5" s="211"/>
      <c r="E5" s="211"/>
      <c r="F5" s="211"/>
      <c r="G5" s="211"/>
      <c r="H5" s="211"/>
      <c r="I5" s="211"/>
      <c r="J5" s="211"/>
      <c r="K5" s="211"/>
      <c r="L5" s="211"/>
      <c r="M5" s="211"/>
      <c r="N5" s="211"/>
      <c r="O5" s="211"/>
      <c r="P5" s="211"/>
      <c r="Q5" s="211"/>
      <c r="R5" s="43"/>
    </row>
    <row r="6" spans="1:18" ht="31.15" customHeight="1" x14ac:dyDescent="0.25">
      <c r="A6" s="205" t="s">
        <v>0</v>
      </c>
      <c r="B6" s="205" t="s">
        <v>204</v>
      </c>
      <c r="C6" s="205" t="s">
        <v>1</v>
      </c>
      <c r="D6" s="205" t="s">
        <v>2</v>
      </c>
      <c r="E6" s="205" t="s">
        <v>3</v>
      </c>
      <c r="F6" s="205" t="s">
        <v>4</v>
      </c>
      <c r="G6" s="205" t="s">
        <v>5</v>
      </c>
      <c r="H6" s="205" t="s">
        <v>6</v>
      </c>
      <c r="I6" s="205" t="s">
        <v>980</v>
      </c>
      <c r="J6" s="213" t="s">
        <v>973</v>
      </c>
      <c r="K6" s="213"/>
      <c r="L6" s="213"/>
      <c r="M6" s="213"/>
      <c r="N6" s="213"/>
      <c r="O6" s="213"/>
      <c r="P6" s="213"/>
      <c r="Q6" s="213"/>
      <c r="R6" s="42"/>
    </row>
    <row r="7" spans="1:18" ht="44.45" customHeight="1" x14ac:dyDescent="0.25">
      <c r="A7" s="205"/>
      <c r="B7" s="205"/>
      <c r="C7" s="205"/>
      <c r="D7" s="205"/>
      <c r="E7" s="205"/>
      <c r="F7" s="205"/>
      <c r="G7" s="205"/>
      <c r="H7" s="205"/>
      <c r="I7" s="205"/>
      <c r="J7" s="3">
        <v>2024</v>
      </c>
      <c r="K7" s="3">
        <v>2025</v>
      </c>
      <c r="L7" s="3">
        <v>2026</v>
      </c>
      <c r="M7" s="3">
        <v>2027</v>
      </c>
      <c r="N7" s="3">
        <v>2028</v>
      </c>
      <c r="O7" s="3">
        <v>2029</v>
      </c>
      <c r="P7" s="3" t="s">
        <v>974</v>
      </c>
      <c r="Q7" s="4" t="s">
        <v>975</v>
      </c>
      <c r="R7" s="5" t="s">
        <v>1209</v>
      </c>
    </row>
    <row r="8" spans="1:18" ht="14.25" x14ac:dyDescent="0.25">
      <c r="A8" s="179" t="s">
        <v>7</v>
      </c>
      <c r="B8" s="179"/>
      <c r="C8" s="179"/>
      <c r="D8" s="179"/>
      <c r="E8" s="179"/>
      <c r="F8" s="179"/>
      <c r="G8" s="179"/>
      <c r="H8" s="179"/>
      <c r="I8" s="179"/>
      <c r="J8" s="179"/>
      <c r="K8" s="179"/>
      <c r="L8" s="179"/>
      <c r="M8" s="179"/>
      <c r="N8" s="179"/>
      <c r="O8" s="179"/>
      <c r="P8" s="179"/>
      <c r="Q8" s="179"/>
      <c r="R8" s="51"/>
    </row>
    <row r="9" spans="1:18" ht="14.25" x14ac:dyDescent="0.25">
      <c r="A9" s="180" t="s">
        <v>8</v>
      </c>
      <c r="B9" s="180"/>
      <c r="C9" s="180"/>
      <c r="D9" s="180"/>
      <c r="E9" s="180"/>
      <c r="F9" s="180"/>
      <c r="G9" s="180"/>
      <c r="H9" s="180"/>
      <c r="I9" s="180"/>
      <c r="J9" s="214"/>
      <c r="K9" s="214"/>
      <c r="L9" s="214"/>
      <c r="M9" s="214"/>
      <c r="N9" s="214"/>
      <c r="O9" s="214"/>
      <c r="P9" s="214"/>
      <c r="Q9" s="214"/>
      <c r="R9" s="52"/>
    </row>
    <row r="10" spans="1:18" ht="258" customHeight="1" x14ac:dyDescent="0.25">
      <c r="A10" s="173" t="s">
        <v>153</v>
      </c>
      <c r="B10" s="172" t="s">
        <v>738</v>
      </c>
      <c r="C10" s="6" t="s">
        <v>371</v>
      </c>
      <c r="D10" s="172" t="s">
        <v>691</v>
      </c>
      <c r="E10" s="172" t="s">
        <v>563</v>
      </c>
      <c r="F10" s="172" t="s">
        <v>652</v>
      </c>
      <c r="G10" s="172">
        <v>0</v>
      </c>
      <c r="H10" s="172" t="s">
        <v>1278</v>
      </c>
      <c r="I10" s="172" t="s">
        <v>343</v>
      </c>
      <c r="J10" s="7" t="s">
        <v>913</v>
      </c>
      <c r="K10" s="7" t="s">
        <v>913</v>
      </c>
      <c r="L10" s="7" t="s">
        <v>913</v>
      </c>
      <c r="M10" s="7" t="s">
        <v>913</v>
      </c>
      <c r="N10" s="7" t="s">
        <v>913</v>
      </c>
      <c r="O10" s="7" t="s">
        <v>913</v>
      </c>
      <c r="P10" s="8">
        <f t="shared" ref="P10:P45" si="0">SUM(J10:O10)</f>
        <v>0</v>
      </c>
      <c r="Q10" s="9" t="s">
        <v>976</v>
      </c>
      <c r="R10" s="9" t="s">
        <v>1212</v>
      </c>
    </row>
    <row r="11" spans="1:18" ht="108" x14ac:dyDescent="0.25">
      <c r="A11" s="173"/>
      <c r="B11" s="172"/>
      <c r="C11" s="6" t="s">
        <v>369</v>
      </c>
      <c r="D11" s="172"/>
      <c r="E11" s="172"/>
      <c r="F11" s="172"/>
      <c r="G11" s="172"/>
      <c r="H11" s="172"/>
      <c r="I11" s="172"/>
      <c r="J11" s="7" t="s">
        <v>913</v>
      </c>
      <c r="K11" s="7" t="s">
        <v>913</v>
      </c>
      <c r="L11" s="8">
        <f>30000*1.04</f>
        <v>31200</v>
      </c>
      <c r="M11" s="7" t="s">
        <v>913</v>
      </c>
      <c r="N11" s="7" t="s">
        <v>913</v>
      </c>
      <c r="O11" s="7" t="s">
        <v>913</v>
      </c>
      <c r="P11" s="8">
        <f t="shared" si="0"/>
        <v>31200</v>
      </c>
      <c r="Q11" s="9" t="s">
        <v>976</v>
      </c>
      <c r="R11" s="9" t="s">
        <v>1210</v>
      </c>
    </row>
    <row r="12" spans="1:18" ht="108" x14ac:dyDescent="0.25">
      <c r="A12" s="173"/>
      <c r="B12" s="172"/>
      <c r="C12" s="6" t="s">
        <v>370</v>
      </c>
      <c r="D12" s="172"/>
      <c r="E12" s="172"/>
      <c r="F12" s="172"/>
      <c r="G12" s="172"/>
      <c r="H12" s="172"/>
      <c r="I12" s="172"/>
      <c r="J12" s="7" t="s">
        <v>913</v>
      </c>
      <c r="K12" s="7" t="s">
        <v>913</v>
      </c>
      <c r="L12" s="7" t="s">
        <v>913</v>
      </c>
      <c r="M12" s="8">
        <v>26000</v>
      </c>
      <c r="N12" s="7" t="s">
        <v>913</v>
      </c>
      <c r="O12" s="7" t="s">
        <v>913</v>
      </c>
      <c r="P12" s="8">
        <f t="shared" si="0"/>
        <v>26000</v>
      </c>
      <c r="Q12" s="9" t="s">
        <v>976</v>
      </c>
      <c r="R12" s="9" t="s">
        <v>1210</v>
      </c>
    </row>
    <row r="13" spans="1:18" ht="81" x14ac:dyDescent="0.25">
      <c r="A13" s="173"/>
      <c r="B13" s="172"/>
      <c r="C13" s="6" t="s">
        <v>727</v>
      </c>
      <c r="D13" s="172"/>
      <c r="E13" s="172"/>
      <c r="F13" s="172"/>
      <c r="G13" s="172"/>
      <c r="H13" s="172"/>
      <c r="I13" s="172"/>
      <c r="J13" s="7" t="s">
        <v>913</v>
      </c>
      <c r="K13" s="7" t="s">
        <v>913</v>
      </c>
      <c r="L13" s="7" t="s">
        <v>913</v>
      </c>
      <c r="M13" s="7" t="s">
        <v>913</v>
      </c>
      <c r="N13" s="7" t="s">
        <v>913</v>
      </c>
      <c r="O13" s="7" t="s">
        <v>913</v>
      </c>
      <c r="P13" s="8">
        <f t="shared" si="0"/>
        <v>0</v>
      </c>
      <c r="Q13" s="9" t="s">
        <v>914</v>
      </c>
      <c r="R13" s="9" t="s">
        <v>1212</v>
      </c>
    </row>
    <row r="14" spans="1:18" ht="27" x14ac:dyDescent="0.25">
      <c r="A14" s="173"/>
      <c r="B14" s="172"/>
      <c r="C14" s="6" t="s">
        <v>728</v>
      </c>
      <c r="D14" s="172"/>
      <c r="E14" s="172"/>
      <c r="F14" s="172"/>
      <c r="G14" s="172"/>
      <c r="H14" s="172"/>
      <c r="I14" s="172"/>
      <c r="J14" s="7" t="s">
        <v>913</v>
      </c>
      <c r="K14" s="7" t="s">
        <v>913</v>
      </c>
      <c r="L14" s="7" t="s">
        <v>913</v>
      </c>
      <c r="M14" s="7" t="s">
        <v>913</v>
      </c>
      <c r="N14" s="7" t="s">
        <v>913</v>
      </c>
      <c r="O14" s="7" t="s">
        <v>913</v>
      </c>
      <c r="P14" s="8">
        <f t="shared" si="0"/>
        <v>0</v>
      </c>
      <c r="Q14" s="9" t="s">
        <v>914</v>
      </c>
      <c r="R14" s="9" t="s">
        <v>1212</v>
      </c>
    </row>
    <row r="15" spans="1:18" ht="67.5" x14ac:dyDescent="0.25">
      <c r="A15" s="173"/>
      <c r="B15" s="172"/>
      <c r="C15" s="6" t="s">
        <v>729</v>
      </c>
      <c r="D15" s="172"/>
      <c r="E15" s="172"/>
      <c r="F15" s="172"/>
      <c r="G15" s="172"/>
      <c r="H15" s="172"/>
      <c r="I15" s="172"/>
      <c r="J15" s="7" t="s">
        <v>913</v>
      </c>
      <c r="K15" s="7" t="s">
        <v>913</v>
      </c>
      <c r="L15" s="7" t="s">
        <v>913</v>
      </c>
      <c r="M15" s="7" t="s">
        <v>913</v>
      </c>
      <c r="N15" s="7" t="s">
        <v>913</v>
      </c>
      <c r="O15" s="7" t="s">
        <v>913</v>
      </c>
      <c r="P15" s="8">
        <f t="shared" si="0"/>
        <v>0</v>
      </c>
      <c r="Q15" s="9" t="s">
        <v>914</v>
      </c>
      <c r="R15" s="9" t="s">
        <v>1212</v>
      </c>
    </row>
    <row r="16" spans="1:18" ht="81" x14ac:dyDescent="0.25">
      <c r="A16" s="173"/>
      <c r="B16" s="172"/>
      <c r="C16" s="6" t="s">
        <v>730</v>
      </c>
      <c r="D16" s="172"/>
      <c r="E16" s="172"/>
      <c r="F16" s="172"/>
      <c r="G16" s="172"/>
      <c r="H16" s="172"/>
      <c r="I16" s="172"/>
      <c r="J16" s="7" t="s">
        <v>913</v>
      </c>
      <c r="K16" s="7" t="s">
        <v>913</v>
      </c>
      <c r="L16" s="7" t="s">
        <v>913</v>
      </c>
      <c r="M16" s="7" t="s">
        <v>913</v>
      </c>
      <c r="N16" s="7" t="s">
        <v>913</v>
      </c>
      <c r="O16" s="7" t="s">
        <v>913</v>
      </c>
      <c r="P16" s="8">
        <f t="shared" si="0"/>
        <v>0</v>
      </c>
      <c r="Q16" s="9" t="s">
        <v>977</v>
      </c>
      <c r="R16" s="9" t="s">
        <v>1212</v>
      </c>
    </row>
    <row r="17" spans="1:18" ht="40.5" x14ac:dyDescent="0.25">
      <c r="A17" s="173"/>
      <c r="B17" s="172"/>
      <c r="C17" s="6" t="s">
        <v>547</v>
      </c>
      <c r="D17" s="172"/>
      <c r="E17" s="172"/>
      <c r="F17" s="172"/>
      <c r="G17" s="172"/>
      <c r="H17" s="172"/>
      <c r="I17" s="172"/>
      <c r="J17" s="7" t="s">
        <v>913</v>
      </c>
      <c r="K17" s="7" t="s">
        <v>913</v>
      </c>
      <c r="L17" s="7" t="s">
        <v>913</v>
      </c>
      <c r="M17" s="7" t="s">
        <v>913</v>
      </c>
      <c r="N17" s="7" t="s">
        <v>913</v>
      </c>
      <c r="O17" s="7" t="s">
        <v>913</v>
      </c>
      <c r="P17" s="8">
        <f t="shared" si="0"/>
        <v>0</v>
      </c>
      <c r="Q17" s="9" t="s">
        <v>914</v>
      </c>
      <c r="R17" s="9" t="s">
        <v>1212</v>
      </c>
    </row>
    <row r="18" spans="1:18" ht="40.5" x14ac:dyDescent="0.25">
      <c r="A18" s="173"/>
      <c r="B18" s="172"/>
      <c r="C18" s="6" t="s">
        <v>731</v>
      </c>
      <c r="D18" s="172"/>
      <c r="E18" s="172"/>
      <c r="F18" s="172"/>
      <c r="G18" s="172"/>
      <c r="H18" s="172"/>
      <c r="I18" s="172"/>
      <c r="J18" s="7" t="s">
        <v>913</v>
      </c>
      <c r="K18" s="7" t="s">
        <v>913</v>
      </c>
      <c r="L18" s="7" t="s">
        <v>913</v>
      </c>
      <c r="M18" s="7" t="s">
        <v>913</v>
      </c>
      <c r="N18" s="7" t="s">
        <v>913</v>
      </c>
      <c r="O18" s="7" t="s">
        <v>913</v>
      </c>
      <c r="P18" s="8">
        <f t="shared" si="0"/>
        <v>0</v>
      </c>
      <c r="Q18" s="9" t="s">
        <v>914</v>
      </c>
      <c r="R18" s="9" t="s">
        <v>1212</v>
      </c>
    </row>
    <row r="19" spans="1:18" ht="78.599999999999994" customHeight="1" x14ac:dyDescent="0.25">
      <c r="A19" s="173"/>
      <c r="B19" s="172"/>
      <c r="C19" s="6" t="s">
        <v>732</v>
      </c>
      <c r="D19" s="172"/>
      <c r="E19" s="172"/>
      <c r="F19" s="172"/>
      <c r="G19" s="172"/>
      <c r="H19" s="172"/>
      <c r="I19" s="172"/>
      <c r="J19" s="7" t="s">
        <v>913</v>
      </c>
      <c r="K19" s="7" t="s">
        <v>913</v>
      </c>
      <c r="L19" s="7" t="s">
        <v>913</v>
      </c>
      <c r="M19" s="8">
        <f>(405000/3)*1.04</f>
        <v>140400</v>
      </c>
      <c r="N19" s="8">
        <f>M19*1.04</f>
        <v>146016</v>
      </c>
      <c r="O19" s="7" t="s">
        <v>913</v>
      </c>
      <c r="P19" s="8">
        <f t="shared" si="0"/>
        <v>286416</v>
      </c>
      <c r="Q19" s="9" t="s">
        <v>978</v>
      </c>
      <c r="R19" s="9" t="s">
        <v>1211</v>
      </c>
    </row>
    <row r="20" spans="1:18" ht="40.5" x14ac:dyDescent="0.25">
      <c r="A20" s="173"/>
      <c r="B20" s="172"/>
      <c r="C20" s="6" t="s">
        <v>733</v>
      </c>
      <c r="D20" s="172"/>
      <c r="E20" s="172"/>
      <c r="F20" s="172"/>
      <c r="G20" s="172"/>
      <c r="H20" s="172"/>
      <c r="I20" s="172"/>
      <c r="J20" s="7" t="s">
        <v>913</v>
      </c>
      <c r="K20" s="7" t="s">
        <v>913</v>
      </c>
      <c r="L20" s="7" t="s">
        <v>913</v>
      </c>
      <c r="M20" s="7" t="s">
        <v>913</v>
      </c>
      <c r="N20" s="7" t="s">
        <v>913</v>
      </c>
      <c r="O20" s="7" t="s">
        <v>913</v>
      </c>
      <c r="P20" s="8">
        <f t="shared" si="0"/>
        <v>0</v>
      </c>
      <c r="Q20" s="9" t="s">
        <v>979</v>
      </c>
      <c r="R20" s="9" t="s">
        <v>979</v>
      </c>
    </row>
    <row r="21" spans="1:18" ht="40.5" x14ac:dyDescent="0.25">
      <c r="A21" s="173"/>
      <c r="B21" s="172"/>
      <c r="C21" s="6" t="s">
        <v>734</v>
      </c>
      <c r="D21" s="172"/>
      <c r="E21" s="172"/>
      <c r="F21" s="172"/>
      <c r="G21" s="172"/>
      <c r="H21" s="172"/>
      <c r="I21" s="172"/>
      <c r="J21" s="7" t="s">
        <v>913</v>
      </c>
      <c r="K21" s="7" t="s">
        <v>913</v>
      </c>
      <c r="L21" s="7" t="s">
        <v>913</v>
      </c>
      <c r="M21" s="7" t="s">
        <v>913</v>
      </c>
      <c r="N21" s="7" t="s">
        <v>913</v>
      </c>
      <c r="O21" s="7" t="s">
        <v>913</v>
      </c>
      <c r="P21" s="8">
        <f t="shared" si="0"/>
        <v>0</v>
      </c>
      <c r="Q21" s="9" t="s">
        <v>979</v>
      </c>
      <c r="R21" s="9" t="s">
        <v>979</v>
      </c>
    </row>
    <row r="22" spans="1:18" ht="108" x14ac:dyDescent="0.25">
      <c r="A22" s="173" t="s">
        <v>1357</v>
      </c>
      <c r="B22" s="172" t="s">
        <v>372</v>
      </c>
      <c r="C22" s="6" t="s">
        <v>377</v>
      </c>
      <c r="D22" s="172" t="s">
        <v>682</v>
      </c>
      <c r="E22" s="172" t="s">
        <v>376</v>
      </c>
      <c r="F22" s="172" t="s">
        <v>378</v>
      </c>
      <c r="G22" s="178">
        <v>0.1</v>
      </c>
      <c r="H22" s="178" t="s">
        <v>1277</v>
      </c>
      <c r="I22" s="178" t="s">
        <v>46</v>
      </c>
      <c r="J22" s="7" t="s">
        <v>913</v>
      </c>
      <c r="K22" s="8">
        <f>50000*1.04</f>
        <v>52000</v>
      </c>
      <c r="L22" s="7" t="s">
        <v>913</v>
      </c>
      <c r="M22" s="7" t="s">
        <v>913</v>
      </c>
      <c r="N22" s="8">
        <v>22000</v>
      </c>
      <c r="O22" s="7" t="s">
        <v>913</v>
      </c>
      <c r="P22" s="8">
        <f t="shared" si="0"/>
        <v>74000</v>
      </c>
      <c r="Q22" s="9" t="s">
        <v>982</v>
      </c>
      <c r="R22" s="9" t="s">
        <v>1210</v>
      </c>
    </row>
    <row r="23" spans="1:18" ht="94.5" x14ac:dyDescent="0.25">
      <c r="A23" s="173"/>
      <c r="B23" s="172"/>
      <c r="C23" s="6" t="s">
        <v>373</v>
      </c>
      <c r="D23" s="172"/>
      <c r="E23" s="172"/>
      <c r="F23" s="172"/>
      <c r="G23" s="172"/>
      <c r="H23" s="172"/>
      <c r="I23" s="172"/>
      <c r="J23" s="7" t="s">
        <v>913</v>
      </c>
      <c r="K23" s="7" t="s">
        <v>913</v>
      </c>
      <c r="L23" s="7" t="s">
        <v>913</v>
      </c>
      <c r="M23" s="7" t="s">
        <v>913</v>
      </c>
      <c r="N23" s="7" t="s">
        <v>913</v>
      </c>
      <c r="O23" s="7" t="s">
        <v>913</v>
      </c>
      <c r="P23" s="8">
        <f t="shared" si="0"/>
        <v>0</v>
      </c>
      <c r="Q23" s="9" t="s">
        <v>1076</v>
      </c>
      <c r="R23" s="9" t="s">
        <v>1076</v>
      </c>
    </row>
    <row r="24" spans="1:18" ht="67.5" x14ac:dyDescent="0.25">
      <c r="A24" s="173"/>
      <c r="B24" s="172"/>
      <c r="C24" s="6" t="s">
        <v>374</v>
      </c>
      <c r="D24" s="172"/>
      <c r="E24" s="172"/>
      <c r="F24" s="172"/>
      <c r="G24" s="172"/>
      <c r="H24" s="172"/>
      <c r="I24" s="172"/>
      <c r="J24" s="7" t="s">
        <v>913</v>
      </c>
      <c r="K24" s="7" t="s">
        <v>913</v>
      </c>
      <c r="L24" s="7" t="s">
        <v>913</v>
      </c>
      <c r="M24" s="7" t="s">
        <v>913</v>
      </c>
      <c r="N24" s="7" t="s">
        <v>913</v>
      </c>
      <c r="O24" s="7" t="s">
        <v>913</v>
      </c>
      <c r="P24" s="8">
        <f t="shared" si="0"/>
        <v>0</v>
      </c>
      <c r="Q24" s="9" t="s">
        <v>1076</v>
      </c>
      <c r="R24" s="9" t="s">
        <v>1076</v>
      </c>
    </row>
    <row r="25" spans="1:18" ht="135" x14ac:dyDescent="0.25">
      <c r="A25" s="173"/>
      <c r="B25" s="172"/>
      <c r="C25" s="6" t="s">
        <v>375</v>
      </c>
      <c r="D25" s="172"/>
      <c r="E25" s="172"/>
      <c r="F25" s="172"/>
      <c r="G25" s="172"/>
      <c r="H25" s="172"/>
      <c r="I25" s="172"/>
      <c r="J25" s="7" t="s">
        <v>913</v>
      </c>
      <c r="K25" s="7" t="s">
        <v>913</v>
      </c>
      <c r="L25" s="8">
        <f>(700*30)*1.04</f>
        <v>21840</v>
      </c>
      <c r="M25" s="7" t="s">
        <v>913</v>
      </c>
      <c r="N25" s="7" t="s">
        <v>913</v>
      </c>
      <c r="O25" s="10">
        <f>L25*1.04</f>
        <v>22713.600000000002</v>
      </c>
      <c r="P25" s="8">
        <f t="shared" si="0"/>
        <v>44553.600000000006</v>
      </c>
      <c r="Q25" s="9" t="s">
        <v>983</v>
      </c>
      <c r="R25" s="9" t="s">
        <v>1210</v>
      </c>
    </row>
    <row r="26" spans="1:18" ht="94.5" x14ac:dyDescent="0.25">
      <c r="A26" s="173" t="s">
        <v>154</v>
      </c>
      <c r="B26" s="172" t="s">
        <v>564</v>
      </c>
      <c r="C26" s="6" t="s">
        <v>465</v>
      </c>
      <c r="D26" s="172" t="s">
        <v>679</v>
      </c>
      <c r="E26" s="172" t="s">
        <v>905</v>
      </c>
      <c r="F26" s="172" t="s">
        <v>899</v>
      </c>
      <c r="G26" s="172">
        <v>0</v>
      </c>
      <c r="H26" s="178" t="s">
        <v>1236</v>
      </c>
      <c r="I26" s="172" t="s">
        <v>323</v>
      </c>
      <c r="J26" s="7" t="s">
        <v>913</v>
      </c>
      <c r="K26" s="7" t="s">
        <v>913</v>
      </c>
      <c r="L26" s="7" t="s">
        <v>913</v>
      </c>
      <c r="M26" s="7" t="s">
        <v>913</v>
      </c>
      <c r="N26" s="7" t="s">
        <v>913</v>
      </c>
      <c r="O26" s="7" t="s">
        <v>913</v>
      </c>
      <c r="P26" s="8">
        <f t="shared" si="0"/>
        <v>0</v>
      </c>
      <c r="Q26" s="9" t="s">
        <v>914</v>
      </c>
      <c r="R26" s="9" t="s">
        <v>1212</v>
      </c>
    </row>
    <row r="27" spans="1:18" ht="94.5" x14ac:dyDescent="0.25">
      <c r="A27" s="173"/>
      <c r="B27" s="172"/>
      <c r="C27" s="6" t="s">
        <v>379</v>
      </c>
      <c r="D27" s="172"/>
      <c r="E27" s="172"/>
      <c r="F27" s="172"/>
      <c r="G27" s="172"/>
      <c r="H27" s="178"/>
      <c r="I27" s="172"/>
      <c r="J27" s="7" t="s">
        <v>913</v>
      </c>
      <c r="K27" s="8">
        <f>10000*1.04</f>
        <v>10400</v>
      </c>
      <c r="L27" s="7" t="s">
        <v>913</v>
      </c>
      <c r="M27" s="7" t="s">
        <v>913</v>
      </c>
      <c r="N27" s="7" t="s">
        <v>913</v>
      </c>
      <c r="O27" s="7" t="s">
        <v>913</v>
      </c>
      <c r="P27" s="8">
        <f t="shared" si="0"/>
        <v>10400</v>
      </c>
      <c r="Q27" s="9" t="s">
        <v>984</v>
      </c>
      <c r="R27" s="9" t="s">
        <v>1210</v>
      </c>
    </row>
    <row r="28" spans="1:18" ht="81" x14ac:dyDescent="0.25">
      <c r="A28" s="173"/>
      <c r="B28" s="172"/>
      <c r="C28" s="6" t="s">
        <v>380</v>
      </c>
      <c r="D28" s="172"/>
      <c r="E28" s="172"/>
      <c r="F28" s="172"/>
      <c r="G28" s="172"/>
      <c r="H28" s="178"/>
      <c r="I28" s="172"/>
      <c r="J28" s="7" t="s">
        <v>913</v>
      </c>
      <c r="K28" s="8">
        <f>50000*1.04</f>
        <v>52000</v>
      </c>
      <c r="L28" s="7" t="s">
        <v>913</v>
      </c>
      <c r="M28" s="7" t="s">
        <v>913</v>
      </c>
      <c r="N28" s="7" t="s">
        <v>913</v>
      </c>
      <c r="O28" s="7" t="s">
        <v>913</v>
      </c>
      <c r="P28" s="8">
        <f t="shared" si="0"/>
        <v>52000</v>
      </c>
      <c r="Q28" s="9" t="s">
        <v>985</v>
      </c>
      <c r="R28" s="9" t="s">
        <v>1210</v>
      </c>
    </row>
    <row r="29" spans="1:18" ht="67.5" x14ac:dyDescent="0.25">
      <c r="A29" s="173" t="s">
        <v>155</v>
      </c>
      <c r="B29" s="172" t="s">
        <v>1130</v>
      </c>
      <c r="C29" s="6" t="s">
        <v>1131</v>
      </c>
      <c r="D29" s="178" t="s">
        <v>1132</v>
      </c>
      <c r="E29" s="172" t="s">
        <v>1133</v>
      </c>
      <c r="F29" s="172" t="s">
        <v>653</v>
      </c>
      <c r="G29" s="173">
        <v>0</v>
      </c>
      <c r="H29" s="172" t="s">
        <v>1230</v>
      </c>
      <c r="I29" s="172" t="s">
        <v>324</v>
      </c>
      <c r="J29" s="7" t="s">
        <v>913</v>
      </c>
      <c r="K29" s="7" t="s">
        <v>913</v>
      </c>
      <c r="L29" s="7" t="s">
        <v>913</v>
      </c>
      <c r="M29" s="8">
        <v>24800</v>
      </c>
      <c r="N29" s="7" t="s">
        <v>913</v>
      </c>
      <c r="O29" s="7" t="s">
        <v>913</v>
      </c>
      <c r="P29" s="8">
        <f t="shared" si="0"/>
        <v>24800</v>
      </c>
      <c r="Q29" s="9" t="s">
        <v>986</v>
      </c>
      <c r="R29" s="9" t="s">
        <v>1211</v>
      </c>
    </row>
    <row r="30" spans="1:18" ht="67.5" x14ac:dyDescent="0.25">
      <c r="A30" s="173"/>
      <c r="B30" s="172"/>
      <c r="C30" s="6" t="s">
        <v>63</v>
      </c>
      <c r="D30" s="178"/>
      <c r="E30" s="172"/>
      <c r="F30" s="172"/>
      <c r="G30" s="173"/>
      <c r="H30" s="172"/>
      <c r="I30" s="173"/>
      <c r="J30" s="7" t="s">
        <v>913</v>
      </c>
      <c r="K30" s="7" t="s">
        <v>913</v>
      </c>
      <c r="L30" s="7" t="s">
        <v>913</v>
      </c>
      <c r="M30" s="7" t="s">
        <v>913</v>
      </c>
      <c r="N30" s="7" t="s">
        <v>913</v>
      </c>
      <c r="O30" s="7" t="s">
        <v>913</v>
      </c>
      <c r="P30" s="8">
        <f t="shared" si="0"/>
        <v>0</v>
      </c>
      <c r="Q30" s="9" t="s">
        <v>914</v>
      </c>
      <c r="R30" s="9" t="s">
        <v>1212</v>
      </c>
    </row>
    <row r="31" spans="1:18" ht="40.5" x14ac:dyDescent="0.25">
      <c r="A31" s="173"/>
      <c r="B31" s="172"/>
      <c r="C31" s="6" t="s">
        <v>633</v>
      </c>
      <c r="D31" s="178"/>
      <c r="E31" s="172"/>
      <c r="F31" s="172"/>
      <c r="G31" s="173"/>
      <c r="H31" s="172"/>
      <c r="I31" s="173"/>
      <c r="J31" s="7" t="s">
        <v>913</v>
      </c>
      <c r="K31" s="7" t="s">
        <v>913</v>
      </c>
      <c r="L31" s="7" t="s">
        <v>913</v>
      </c>
      <c r="M31" s="7" t="s">
        <v>913</v>
      </c>
      <c r="N31" s="7" t="s">
        <v>913</v>
      </c>
      <c r="O31" s="7" t="s">
        <v>913</v>
      </c>
      <c r="P31" s="8">
        <f t="shared" si="0"/>
        <v>0</v>
      </c>
      <c r="Q31" s="9" t="s">
        <v>914</v>
      </c>
      <c r="R31" s="9" t="s">
        <v>1212</v>
      </c>
    </row>
    <row r="32" spans="1:18" ht="27" x14ac:dyDescent="0.25">
      <c r="A32" s="173"/>
      <c r="B32" s="172"/>
      <c r="C32" s="6" t="s">
        <v>59</v>
      </c>
      <c r="D32" s="178"/>
      <c r="E32" s="172"/>
      <c r="F32" s="172"/>
      <c r="G32" s="173"/>
      <c r="H32" s="172"/>
      <c r="I32" s="173"/>
      <c r="J32" s="7" t="s">
        <v>913</v>
      </c>
      <c r="K32" s="7" t="s">
        <v>913</v>
      </c>
      <c r="L32" s="7" t="s">
        <v>913</v>
      </c>
      <c r="M32" s="7" t="s">
        <v>913</v>
      </c>
      <c r="N32" s="7" t="s">
        <v>913</v>
      </c>
      <c r="O32" s="7" t="s">
        <v>913</v>
      </c>
      <c r="P32" s="8">
        <f t="shared" si="0"/>
        <v>0</v>
      </c>
      <c r="Q32" s="9" t="s">
        <v>914</v>
      </c>
      <c r="R32" s="9" t="s">
        <v>1212</v>
      </c>
    </row>
    <row r="33" spans="1:18" ht="67.5" x14ac:dyDescent="0.25">
      <c r="A33" s="173"/>
      <c r="B33" s="172"/>
      <c r="C33" s="6" t="s">
        <v>60</v>
      </c>
      <c r="D33" s="178"/>
      <c r="E33" s="172"/>
      <c r="F33" s="172"/>
      <c r="G33" s="173"/>
      <c r="H33" s="172"/>
      <c r="I33" s="173"/>
      <c r="J33" s="7" t="s">
        <v>913</v>
      </c>
      <c r="K33" s="7" t="s">
        <v>913</v>
      </c>
      <c r="L33" s="7" t="s">
        <v>913</v>
      </c>
      <c r="M33" s="8">
        <f>(607500/8)*1.04</f>
        <v>78975</v>
      </c>
      <c r="N33" s="11">
        <f>M33*1.04</f>
        <v>82134</v>
      </c>
      <c r="O33" s="7" t="s">
        <v>913</v>
      </c>
      <c r="P33" s="8">
        <f t="shared" si="0"/>
        <v>161109</v>
      </c>
      <c r="Q33" s="9" t="s">
        <v>987</v>
      </c>
      <c r="R33" s="9" t="s">
        <v>1211</v>
      </c>
    </row>
    <row r="34" spans="1:18" ht="27" x14ac:dyDescent="0.25">
      <c r="A34" s="173"/>
      <c r="B34" s="172"/>
      <c r="C34" s="6" t="s">
        <v>64</v>
      </c>
      <c r="D34" s="178"/>
      <c r="E34" s="172"/>
      <c r="F34" s="172"/>
      <c r="G34" s="173"/>
      <c r="H34" s="172"/>
      <c r="I34" s="173"/>
      <c r="J34" s="7" t="s">
        <v>913</v>
      </c>
      <c r="K34" s="7" t="s">
        <v>913</v>
      </c>
      <c r="L34" s="7" t="s">
        <v>913</v>
      </c>
      <c r="M34" s="7" t="s">
        <v>913</v>
      </c>
      <c r="N34" s="7" t="s">
        <v>913</v>
      </c>
      <c r="O34" s="7" t="s">
        <v>913</v>
      </c>
      <c r="P34" s="8">
        <f t="shared" si="0"/>
        <v>0</v>
      </c>
      <c r="Q34" s="9" t="s">
        <v>1077</v>
      </c>
      <c r="R34" s="9" t="s">
        <v>1212</v>
      </c>
    </row>
    <row r="35" spans="1:18" ht="27" x14ac:dyDescent="0.25">
      <c r="A35" s="173"/>
      <c r="B35" s="172"/>
      <c r="C35" s="6" t="s">
        <v>65</v>
      </c>
      <c r="D35" s="178"/>
      <c r="E35" s="172"/>
      <c r="F35" s="172"/>
      <c r="G35" s="173"/>
      <c r="H35" s="172"/>
      <c r="I35" s="173"/>
      <c r="J35" s="7" t="s">
        <v>913</v>
      </c>
      <c r="K35" s="7" t="s">
        <v>913</v>
      </c>
      <c r="L35" s="7" t="s">
        <v>913</v>
      </c>
      <c r="M35" s="7" t="s">
        <v>913</v>
      </c>
      <c r="N35" s="7" t="s">
        <v>913</v>
      </c>
      <c r="O35" s="7" t="s">
        <v>913</v>
      </c>
      <c r="P35" s="8">
        <f t="shared" si="0"/>
        <v>0</v>
      </c>
      <c r="Q35" s="9" t="s">
        <v>1077</v>
      </c>
      <c r="R35" s="9" t="s">
        <v>1212</v>
      </c>
    </row>
    <row r="36" spans="1:18" ht="81" x14ac:dyDescent="0.25">
      <c r="A36" s="173" t="s">
        <v>156</v>
      </c>
      <c r="B36" s="172" t="s">
        <v>1367</v>
      </c>
      <c r="C36" s="6" t="s">
        <v>381</v>
      </c>
      <c r="D36" s="172" t="s">
        <v>683</v>
      </c>
      <c r="E36" s="172" t="s">
        <v>1368</v>
      </c>
      <c r="F36" s="172" t="s">
        <v>654</v>
      </c>
      <c r="G36" s="172">
        <v>0</v>
      </c>
      <c r="H36" s="172" t="s">
        <v>1245</v>
      </c>
      <c r="I36" s="172" t="s">
        <v>1375</v>
      </c>
      <c r="J36" s="7" t="s">
        <v>913</v>
      </c>
      <c r="K36" s="7" t="s">
        <v>913</v>
      </c>
      <c r="L36" s="8">
        <f>8000*1.04</f>
        <v>8320</v>
      </c>
      <c r="M36" s="7" t="s">
        <v>913</v>
      </c>
      <c r="N36" s="7" t="s">
        <v>913</v>
      </c>
      <c r="O36" s="7" t="s">
        <v>913</v>
      </c>
      <c r="P36" s="8">
        <f t="shared" si="0"/>
        <v>8320</v>
      </c>
      <c r="Q36" s="9" t="s">
        <v>988</v>
      </c>
      <c r="R36" s="9" t="s">
        <v>1210</v>
      </c>
    </row>
    <row r="37" spans="1:18" ht="81" x14ac:dyDescent="0.25">
      <c r="A37" s="173"/>
      <c r="B37" s="172"/>
      <c r="C37" s="6" t="s">
        <v>382</v>
      </c>
      <c r="D37" s="172"/>
      <c r="E37" s="172"/>
      <c r="F37" s="172"/>
      <c r="G37" s="172"/>
      <c r="H37" s="172"/>
      <c r="I37" s="172"/>
      <c r="J37" s="7" t="s">
        <v>913</v>
      </c>
      <c r="K37" s="7" t="s">
        <v>913</v>
      </c>
      <c r="L37" s="8">
        <v>12800</v>
      </c>
      <c r="M37" s="7" t="s">
        <v>913</v>
      </c>
      <c r="N37" s="7" t="s">
        <v>913</v>
      </c>
      <c r="O37" s="7" t="s">
        <v>913</v>
      </c>
      <c r="P37" s="8">
        <f t="shared" si="0"/>
        <v>12800</v>
      </c>
      <c r="Q37" s="9" t="s">
        <v>988</v>
      </c>
      <c r="R37" s="9" t="s">
        <v>1210</v>
      </c>
    </row>
    <row r="38" spans="1:18" ht="40.5" x14ac:dyDescent="0.25">
      <c r="A38" s="173"/>
      <c r="B38" s="172"/>
      <c r="C38" s="6" t="s">
        <v>383</v>
      </c>
      <c r="D38" s="172"/>
      <c r="E38" s="172"/>
      <c r="F38" s="172"/>
      <c r="G38" s="172"/>
      <c r="H38" s="172"/>
      <c r="I38" s="172"/>
      <c r="J38" s="7" t="s">
        <v>913</v>
      </c>
      <c r="K38" s="7" t="s">
        <v>913</v>
      </c>
      <c r="L38" s="7" t="s">
        <v>913</v>
      </c>
      <c r="M38" s="7" t="s">
        <v>913</v>
      </c>
      <c r="N38" s="7" t="s">
        <v>913</v>
      </c>
      <c r="O38" s="7" t="s">
        <v>913</v>
      </c>
      <c r="P38" s="8">
        <f t="shared" si="0"/>
        <v>0</v>
      </c>
      <c r="Q38" s="9" t="s">
        <v>914</v>
      </c>
      <c r="R38" s="9" t="s">
        <v>1212</v>
      </c>
    </row>
    <row r="39" spans="1:18" ht="81" x14ac:dyDescent="0.25">
      <c r="A39" s="173"/>
      <c r="B39" s="172"/>
      <c r="C39" s="6" t="s">
        <v>384</v>
      </c>
      <c r="D39" s="172"/>
      <c r="E39" s="172"/>
      <c r="F39" s="172"/>
      <c r="G39" s="172"/>
      <c r="H39" s="172"/>
      <c r="I39" s="172"/>
      <c r="J39" s="7" t="s">
        <v>913</v>
      </c>
      <c r="K39" s="7" t="s">
        <v>913</v>
      </c>
      <c r="L39" s="8">
        <f>5000*1.04</f>
        <v>5200</v>
      </c>
      <c r="M39" s="7" t="s">
        <v>913</v>
      </c>
      <c r="N39" s="7" t="s">
        <v>913</v>
      </c>
      <c r="O39" s="7" t="s">
        <v>913</v>
      </c>
      <c r="P39" s="8">
        <f t="shared" si="0"/>
        <v>5200</v>
      </c>
      <c r="Q39" s="9" t="s">
        <v>988</v>
      </c>
      <c r="R39" s="9" t="s">
        <v>1210</v>
      </c>
    </row>
    <row r="40" spans="1:18" ht="108" x14ac:dyDescent="0.25">
      <c r="A40" s="173"/>
      <c r="B40" s="172"/>
      <c r="C40" s="6" t="s">
        <v>385</v>
      </c>
      <c r="D40" s="172"/>
      <c r="E40" s="172"/>
      <c r="F40" s="172"/>
      <c r="G40" s="172"/>
      <c r="H40" s="172"/>
      <c r="I40" s="172"/>
      <c r="J40" s="7" t="s">
        <v>913</v>
      </c>
      <c r="K40" s="7" t="s">
        <v>913</v>
      </c>
      <c r="L40" s="7" t="s">
        <v>913</v>
      </c>
      <c r="M40" s="8">
        <f>42000*1.04</f>
        <v>43680</v>
      </c>
      <c r="N40" s="7" t="s">
        <v>913</v>
      </c>
      <c r="O40" s="7" t="s">
        <v>913</v>
      </c>
      <c r="P40" s="8">
        <f t="shared" si="0"/>
        <v>43680</v>
      </c>
      <c r="Q40" s="9" t="s">
        <v>988</v>
      </c>
      <c r="R40" s="9" t="s">
        <v>1211</v>
      </c>
    </row>
    <row r="41" spans="1:18" ht="108" x14ac:dyDescent="0.25">
      <c r="A41" s="173"/>
      <c r="B41" s="172"/>
      <c r="C41" s="6" t="s">
        <v>1097</v>
      </c>
      <c r="D41" s="172"/>
      <c r="E41" s="172"/>
      <c r="F41" s="172"/>
      <c r="G41" s="172"/>
      <c r="H41" s="172"/>
      <c r="I41" s="172"/>
      <c r="J41" s="7" t="s">
        <v>913</v>
      </c>
      <c r="K41" s="7" t="s">
        <v>913</v>
      </c>
      <c r="L41" s="7" t="s">
        <v>913</v>
      </c>
      <c r="M41" s="7" t="s">
        <v>913</v>
      </c>
      <c r="N41" s="7" t="s">
        <v>913</v>
      </c>
      <c r="O41" s="7" t="s">
        <v>913</v>
      </c>
      <c r="P41" s="8">
        <f t="shared" si="0"/>
        <v>0</v>
      </c>
      <c r="Q41" s="9" t="s">
        <v>988</v>
      </c>
      <c r="R41" s="9" t="s">
        <v>1212</v>
      </c>
    </row>
    <row r="42" spans="1:18" ht="27" x14ac:dyDescent="0.25">
      <c r="A42" s="173"/>
      <c r="B42" s="172"/>
      <c r="C42" s="6" t="s">
        <v>386</v>
      </c>
      <c r="D42" s="172"/>
      <c r="E42" s="172"/>
      <c r="F42" s="172"/>
      <c r="G42" s="172"/>
      <c r="H42" s="172"/>
      <c r="I42" s="172"/>
      <c r="J42" s="7" t="s">
        <v>913</v>
      </c>
      <c r="K42" s="7" t="s">
        <v>913</v>
      </c>
      <c r="L42" s="7" t="s">
        <v>913</v>
      </c>
      <c r="M42" s="8">
        <v>172700</v>
      </c>
      <c r="N42" s="7" t="s">
        <v>913</v>
      </c>
      <c r="O42" s="7" t="s">
        <v>913</v>
      </c>
      <c r="P42" s="8">
        <f t="shared" si="0"/>
        <v>172700</v>
      </c>
      <c r="Q42" s="9" t="s">
        <v>914</v>
      </c>
      <c r="R42" s="9" t="s">
        <v>1211</v>
      </c>
    </row>
    <row r="43" spans="1:18" ht="67.5" x14ac:dyDescent="0.25">
      <c r="A43" s="173" t="s">
        <v>671</v>
      </c>
      <c r="B43" s="172" t="s">
        <v>736</v>
      </c>
      <c r="C43" s="6" t="s">
        <v>194</v>
      </c>
      <c r="D43" s="172" t="s">
        <v>740</v>
      </c>
      <c r="E43" s="172" t="s">
        <v>989</v>
      </c>
      <c r="F43" s="172" t="s">
        <v>198</v>
      </c>
      <c r="G43" s="173">
        <v>0</v>
      </c>
      <c r="H43" s="172" t="s">
        <v>1276</v>
      </c>
      <c r="I43" s="172" t="s">
        <v>46</v>
      </c>
      <c r="J43" s="7" t="s">
        <v>913</v>
      </c>
      <c r="K43" s="7" t="s">
        <v>913</v>
      </c>
      <c r="L43" s="7" t="s">
        <v>913</v>
      </c>
      <c r="M43" s="7" t="s">
        <v>913</v>
      </c>
      <c r="N43" s="7" t="s">
        <v>913</v>
      </c>
      <c r="O43" s="7" t="s">
        <v>913</v>
      </c>
      <c r="P43" s="8">
        <f t="shared" si="0"/>
        <v>0</v>
      </c>
      <c r="Q43" s="9" t="s">
        <v>914</v>
      </c>
      <c r="R43" s="9" t="s">
        <v>1212</v>
      </c>
    </row>
    <row r="44" spans="1:18" ht="40.5" x14ac:dyDescent="0.25">
      <c r="A44" s="173"/>
      <c r="B44" s="172"/>
      <c r="C44" s="6" t="s">
        <v>195</v>
      </c>
      <c r="D44" s="172"/>
      <c r="E44" s="172"/>
      <c r="F44" s="172"/>
      <c r="G44" s="173"/>
      <c r="H44" s="172"/>
      <c r="I44" s="172"/>
      <c r="J44" s="7" t="s">
        <v>913</v>
      </c>
      <c r="K44" s="7" t="s">
        <v>913</v>
      </c>
      <c r="L44" s="7" t="s">
        <v>913</v>
      </c>
      <c r="M44" s="7" t="s">
        <v>913</v>
      </c>
      <c r="N44" s="7" t="s">
        <v>913</v>
      </c>
      <c r="O44" s="7" t="s">
        <v>913</v>
      </c>
      <c r="P44" s="8">
        <f t="shared" si="0"/>
        <v>0</v>
      </c>
      <c r="Q44" s="9" t="s">
        <v>914</v>
      </c>
      <c r="R44" s="9" t="s">
        <v>1212</v>
      </c>
    </row>
    <row r="45" spans="1:18" ht="242.45" customHeight="1" x14ac:dyDescent="0.25">
      <c r="A45" s="173"/>
      <c r="B45" s="172"/>
      <c r="C45" s="6" t="s">
        <v>196</v>
      </c>
      <c r="D45" s="172"/>
      <c r="E45" s="172"/>
      <c r="F45" s="172"/>
      <c r="G45" s="173"/>
      <c r="H45" s="172"/>
      <c r="I45" s="172"/>
      <c r="J45" s="7" t="s">
        <v>913</v>
      </c>
      <c r="K45" s="7" t="s">
        <v>913</v>
      </c>
      <c r="L45" s="7" t="s">
        <v>913</v>
      </c>
      <c r="M45" s="7" t="s">
        <v>913</v>
      </c>
      <c r="N45" s="7" t="s">
        <v>913</v>
      </c>
      <c r="O45" s="7" t="s">
        <v>913</v>
      </c>
      <c r="P45" s="8">
        <f t="shared" si="0"/>
        <v>0</v>
      </c>
      <c r="Q45" s="9" t="s">
        <v>914</v>
      </c>
      <c r="R45" s="9" t="s">
        <v>1212</v>
      </c>
    </row>
    <row r="46" spans="1:18" x14ac:dyDescent="0.25">
      <c r="A46" s="181" t="s">
        <v>322</v>
      </c>
      <c r="B46" s="181"/>
      <c r="C46" s="181"/>
      <c r="D46" s="181"/>
      <c r="E46" s="181"/>
      <c r="F46" s="181"/>
      <c r="G46" s="181"/>
      <c r="H46" s="181"/>
      <c r="I46" s="181"/>
      <c r="J46" s="77"/>
      <c r="K46" s="77"/>
      <c r="L46" s="77"/>
      <c r="M46" s="77"/>
      <c r="N46" s="77"/>
      <c r="O46" s="77"/>
      <c r="P46" s="78">
        <f>SUM(P10:P45)</f>
        <v>953178.6</v>
      </c>
      <c r="Q46" s="77"/>
      <c r="R46" s="79"/>
    </row>
    <row r="47" spans="1:18" ht="14.25" x14ac:dyDescent="0.25">
      <c r="A47" s="182" t="s">
        <v>9</v>
      </c>
      <c r="B47" s="182"/>
      <c r="C47" s="182"/>
      <c r="D47" s="182"/>
      <c r="E47" s="182"/>
      <c r="F47" s="182"/>
      <c r="G47" s="182"/>
      <c r="H47" s="182"/>
      <c r="I47" s="182"/>
      <c r="J47" s="77"/>
      <c r="K47" s="77"/>
      <c r="L47" s="77"/>
      <c r="M47" s="77"/>
      <c r="N47" s="77"/>
      <c r="O47" s="77"/>
      <c r="P47" s="77"/>
      <c r="Q47" s="77"/>
      <c r="R47" s="79"/>
    </row>
    <row r="48" spans="1:18" ht="67.5" x14ac:dyDescent="0.25">
      <c r="A48" s="173" t="s">
        <v>672</v>
      </c>
      <c r="B48" s="172" t="s">
        <v>900</v>
      </c>
      <c r="C48" s="6" t="s">
        <v>901</v>
      </c>
      <c r="D48" s="172" t="s">
        <v>680</v>
      </c>
      <c r="E48" s="172" t="s">
        <v>907</v>
      </c>
      <c r="F48" s="172" t="s">
        <v>390</v>
      </c>
      <c r="G48" s="172">
        <v>0</v>
      </c>
      <c r="H48" s="172" t="s">
        <v>1187</v>
      </c>
      <c r="I48" s="173" t="s">
        <v>46</v>
      </c>
      <c r="J48" s="7" t="s">
        <v>913</v>
      </c>
      <c r="K48" s="7" t="s">
        <v>913</v>
      </c>
      <c r="L48" s="7" t="s">
        <v>913</v>
      </c>
      <c r="M48" s="7" t="s">
        <v>913</v>
      </c>
      <c r="N48" s="7" t="s">
        <v>913</v>
      </c>
      <c r="O48" s="7" t="s">
        <v>913</v>
      </c>
      <c r="P48" s="8">
        <f t="shared" ref="P48:P74" si="1">SUM(J48:O48)</f>
        <v>0</v>
      </c>
      <c r="Q48" s="9" t="s">
        <v>914</v>
      </c>
      <c r="R48" s="9" t="s">
        <v>1212</v>
      </c>
    </row>
    <row r="49" spans="1:18" ht="27" x14ac:dyDescent="0.25">
      <c r="A49" s="173"/>
      <c r="B49" s="172"/>
      <c r="C49" s="6" t="s">
        <v>389</v>
      </c>
      <c r="D49" s="173"/>
      <c r="E49" s="173"/>
      <c r="F49" s="173"/>
      <c r="G49" s="173"/>
      <c r="H49" s="173"/>
      <c r="I49" s="173"/>
      <c r="J49" s="7" t="s">
        <v>913</v>
      </c>
      <c r="K49" s="7" t="s">
        <v>913</v>
      </c>
      <c r="L49" s="7" t="s">
        <v>913</v>
      </c>
      <c r="M49" s="7" t="s">
        <v>913</v>
      </c>
      <c r="N49" s="7" t="s">
        <v>913</v>
      </c>
      <c r="O49" s="7" t="s">
        <v>913</v>
      </c>
      <c r="P49" s="8">
        <f t="shared" si="1"/>
        <v>0</v>
      </c>
      <c r="Q49" s="9" t="s">
        <v>914</v>
      </c>
      <c r="R49" s="9" t="s">
        <v>1212</v>
      </c>
    </row>
    <row r="50" spans="1:18" ht="81" x14ac:dyDescent="0.25">
      <c r="A50" s="173"/>
      <c r="B50" s="172"/>
      <c r="C50" s="6" t="s">
        <v>388</v>
      </c>
      <c r="D50" s="173"/>
      <c r="E50" s="173"/>
      <c r="F50" s="173"/>
      <c r="G50" s="173"/>
      <c r="H50" s="173"/>
      <c r="I50" s="173"/>
      <c r="J50" s="7" t="s">
        <v>913</v>
      </c>
      <c r="K50" s="7" t="s">
        <v>913</v>
      </c>
      <c r="L50" s="7" t="s">
        <v>913</v>
      </c>
      <c r="M50" s="7" t="s">
        <v>913</v>
      </c>
      <c r="N50" s="7" t="s">
        <v>913</v>
      </c>
      <c r="O50" s="7" t="s">
        <v>913</v>
      </c>
      <c r="P50" s="8">
        <f t="shared" si="1"/>
        <v>0</v>
      </c>
      <c r="Q50" s="9" t="s">
        <v>914</v>
      </c>
      <c r="R50" s="9" t="s">
        <v>1212</v>
      </c>
    </row>
    <row r="51" spans="1:18" ht="81" x14ac:dyDescent="0.25">
      <c r="A51" s="173"/>
      <c r="B51" s="172"/>
      <c r="C51" s="6" t="s">
        <v>906</v>
      </c>
      <c r="D51" s="173"/>
      <c r="E51" s="173"/>
      <c r="F51" s="173"/>
      <c r="G51" s="173"/>
      <c r="H51" s="173"/>
      <c r="I51" s="173"/>
      <c r="J51" s="7" t="s">
        <v>913</v>
      </c>
      <c r="K51" s="7" t="s">
        <v>913</v>
      </c>
      <c r="L51" s="7" t="s">
        <v>913</v>
      </c>
      <c r="M51" s="7" t="s">
        <v>913</v>
      </c>
      <c r="N51" s="7" t="s">
        <v>913</v>
      </c>
      <c r="O51" s="7" t="s">
        <v>913</v>
      </c>
      <c r="P51" s="8">
        <f t="shared" si="1"/>
        <v>0</v>
      </c>
      <c r="Q51" s="9" t="s">
        <v>914</v>
      </c>
      <c r="R51" s="9" t="s">
        <v>1212</v>
      </c>
    </row>
    <row r="52" spans="1:18" ht="151.15" customHeight="1" x14ac:dyDescent="0.25">
      <c r="A52" s="173" t="s">
        <v>387</v>
      </c>
      <c r="B52" s="172" t="s">
        <v>185</v>
      </c>
      <c r="C52" s="6" t="s">
        <v>397</v>
      </c>
      <c r="D52" s="172" t="s">
        <v>698</v>
      </c>
      <c r="E52" s="172" t="s">
        <v>192</v>
      </c>
      <c r="F52" s="172" t="s">
        <v>391</v>
      </c>
      <c r="G52" s="172">
        <v>0</v>
      </c>
      <c r="H52" s="172" t="s">
        <v>1243</v>
      </c>
      <c r="I52" s="172" t="s">
        <v>46</v>
      </c>
      <c r="J52" s="7" t="s">
        <v>913</v>
      </c>
      <c r="K52" s="7" t="s">
        <v>913</v>
      </c>
      <c r="L52" s="7" t="s">
        <v>913</v>
      </c>
      <c r="M52" s="7" t="s">
        <v>913</v>
      </c>
      <c r="N52" s="7" t="s">
        <v>913</v>
      </c>
      <c r="O52" s="7" t="s">
        <v>913</v>
      </c>
      <c r="P52" s="8">
        <f t="shared" si="1"/>
        <v>0</v>
      </c>
      <c r="Q52" s="9" t="s">
        <v>914</v>
      </c>
      <c r="R52" s="9" t="s">
        <v>1212</v>
      </c>
    </row>
    <row r="53" spans="1:18" ht="54" x14ac:dyDescent="0.25">
      <c r="A53" s="173"/>
      <c r="B53" s="172"/>
      <c r="C53" s="6" t="s">
        <v>186</v>
      </c>
      <c r="D53" s="172"/>
      <c r="E53" s="172"/>
      <c r="F53" s="172"/>
      <c r="G53" s="172"/>
      <c r="H53" s="172"/>
      <c r="I53" s="172"/>
      <c r="J53" s="7" t="s">
        <v>913</v>
      </c>
      <c r="K53" s="7" t="s">
        <v>913</v>
      </c>
      <c r="L53" s="8">
        <v>48800</v>
      </c>
      <c r="M53" s="7" t="s">
        <v>913</v>
      </c>
      <c r="N53" s="7" t="s">
        <v>913</v>
      </c>
      <c r="O53" s="7" t="s">
        <v>913</v>
      </c>
      <c r="P53" s="8">
        <f t="shared" si="1"/>
        <v>48800</v>
      </c>
      <c r="Q53" s="9" t="s">
        <v>988</v>
      </c>
      <c r="R53" s="9" t="s">
        <v>1213</v>
      </c>
    </row>
    <row r="54" spans="1:18" ht="67.5" x14ac:dyDescent="0.25">
      <c r="A54" s="173"/>
      <c r="B54" s="172"/>
      <c r="C54" s="6" t="s">
        <v>146</v>
      </c>
      <c r="D54" s="172"/>
      <c r="E54" s="172"/>
      <c r="F54" s="172"/>
      <c r="G54" s="172"/>
      <c r="H54" s="172"/>
      <c r="I54" s="172"/>
      <c r="J54" s="7" t="s">
        <v>913</v>
      </c>
      <c r="K54" s="7" t="s">
        <v>913</v>
      </c>
      <c r="L54" s="7" t="s">
        <v>913</v>
      </c>
      <c r="M54" s="7" t="s">
        <v>913</v>
      </c>
      <c r="N54" s="7" t="s">
        <v>913</v>
      </c>
      <c r="O54" s="7" t="s">
        <v>913</v>
      </c>
      <c r="P54" s="8">
        <f t="shared" si="1"/>
        <v>0</v>
      </c>
      <c r="Q54" s="9" t="s">
        <v>914</v>
      </c>
      <c r="R54" s="9" t="s">
        <v>1212</v>
      </c>
    </row>
    <row r="55" spans="1:18" ht="40.5" x14ac:dyDescent="0.25">
      <c r="A55" s="173"/>
      <c r="B55" s="172"/>
      <c r="C55" s="6" t="s">
        <v>627</v>
      </c>
      <c r="D55" s="172"/>
      <c r="E55" s="172"/>
      <c r="F55" s="172"/>
      <c r="G55" s="172"/>
      <c r="H55" s="172"/>
      <c r="I55" s="172"/>
      <c r="J55" s="7" t="s">
        <v>913</v>
      </c>
      <c r="K55" s="7" t="s">
        <v>913</v>
      </c>
      <c r="L55" s="7" t="s">
        <v>913</v>
      </c>
      <c r="M55" s="7" t="s">
        <v>913</v>
      </c>
      <c r="N55" s="7" t="s">
        <v>913</v>
      </c>
      <c r="O55" s="7" t="s">
        <v>913</v>
      </c>
      <c r="P55" s="8">
        <f t="shared" si="1"/>
        <v>0</v>
      </c>
      <c r="Q55" s="9" t="s">
        <v>914</v>
      </c>
      <c r="R55" s="9" t="s">
        <v>1212</v>
      </c>
    </row>
    <row r="56" spans="1:18" ht="81" x14ac:dyDescent="0.25">
      <c r="A56" s="173"/>
      <c r="B56" s="172"/>
      <c r="C56" s="6" t="s">
        <v>187</v>
      </c>
      <c r="D56" s="172"/>
      <c r="E56" s="172"/>
      <c r="F56" s="172"/>
      <c r="G56" s="172"/>
      <c r="H56" s="172"/>
      <c r="I56" s="172"/>
      <c r="J56" s="7" t="s">
        <v>913</v>
      </c>
      <c r="K56" s="7" t="s">
        <v>913</v>
      </c>
      <c r="L56" s="8">
        <f>30000*1.04</f>
        <v>31200</v>
      </c>
      <c r="M56" s="7" t="s">
        <v>913</v>
      </c>
      <c r="N56" s="7" t="s">
        <v>913</v>
      </c>
      <c r="O56" s="7" t="s">
        <v>913</v>
      </c>
      <c r="P56" s="8">
        <f t="shared" si="1"/>
        <v>31200</v>
      </c>
      <c r="Q56" s="9" t="s">
        <v>988</v>
      </c>
      <c r="R56" s="9" t="s">
        <v>1214</v>
      </c>
    </row>
    <row r="57" spans="1:18" ht="27" x14ac:dyDescent="0.25">
      <c r="A57" s="173"/>
      <c r="B57" s="172"/>
      <c r="C57" s="6" t="s">
        <v>188</v>
      </c>
      <c r="D57" s="172"/>
      <c r="E57" s="172"/>
      <c r="F57" s="172"/>
      <c r="G57" s="172"/>
      <c r="H57" s="172"/>
      <c r="I57" s="172"/>
      <c r="J57" s="7" t="s">
        <v>913</v>
      </c>
      <c r="K57" s="7" t="s">
        <v>913</v>
      </c>
      <c r="L57" s="7" t="s">
        <v>913</v>
      </c>
      <c r="M57" s="7" t="s">
        <v>913</v>
      </c>
      <c r="N57" s="7" t="s">
        <v>913</v>
      </c>
      <c r="O57" s="7" t="s">
        <v>913</v>
      </c>
      <c r="P57" s="8">
        <f t="shared" si="1"/>
        <v>0</v>
      </c>
      <c r="Q57" s="9" t="s">
        <v>914</v>
      </c>
      <c r="R57" s="9" t="s">
        <v>1212</v>
      </c>
    </row>
    <row r="58" spans="1:18" ht="54" x14ac:dyDescent="0.25">
      <c r="A58" s="173"/>
      <c r="B58" s="172"/>
      <c r="C58" s="6" t="s">
        <v>189</v>
      </c>
      <c r="D58" s="172"/>
      <c r="E58" s="172"/>
      <c r="F58" s="172"/>
      <c r="G58" s="172"/>
      <c r="H58" s="172"/>
      <c r="I58" s="172"/>
      <c r="J58" s="7" t="s">
        <v>913</v>
      </c>
      <c r="K58" s="7" t="s">
        <v>913</v>
      </c>
      <c r="L58" s="8">
        <f>(810000/2.5)*1.04</f>
        <v>336960</v>
      </c>
      <c r="M58" s="7" t="s">
        <v>913</v>
      </c>
      <c r="N58" s="7" t="s">
        <v>913</v>
      </c>
      <c r="O58" s="12">
        <f>L58*1.04</f>
        <v>350438.40000000002</v>
      </c>
      <c r="P58" s="8">
        <f t="shared" si="1"/>
        <v>687398.40000000002</v>
      </c>
      <c r="Q58" s="9" t="s">
        <v>990</v>
      </c>
      <c r="R58" s="9" t="s">
        <v>1214</v>
      </c>
    </row>
    <row r="59" spans="1:18" ht="40.5" x14ac:dyDescent="0.25">
      <c r="A59" s="173"/>
      <c r="B59" s="172"/>
      <c r="C59" s="6" t="s">
        <v>737</v>
      </c>
      <c r="D59" s="172"/>
      <c r="E59" s="172"/>
      <c r="F59" s="172"/>
      <c r="G59" s="172"/>
      <c r="H59" s="172"/>
      <c r="I59" s="172"/>
      <c r="J59" s="7" t="s">
        <v>913</v>
      </c>
      <c r="K59" s="7" t="s">
        <v>913</v>
      </c>
      <c r="L59" s="7" t="s">
        <v>913</v>
      </c>
      <c r="M59" s="7" t="s">
        <v>913</v>
      </c>
      <c r="N59" s="7" t="s">
        <v>913</v>
      </c>
      <c r="O59" s="7" t="s">
        <v>913</v>
      </c>
      <c r="P59" s="8">
        <f t="shared" si="1"/>
        <v>0</v>
      </c>
      <c r="Q59" s="9" t="s">
        <v>1078</v>
      </c>
      <c r="R59" s="9" t="s">
        <v>1078</v>
      </c>
    </row>
    <row r="60" spans="1:18" ht="40.5" x14ac:dyDescent="0.25">
      <c r="A60" s="173"/>
      <c r="B60" s="172"/>
      <c r="C60" s="6" t="s">
        <v>191</v>
      </c>
      <c r="D60" s="172"/>
      <c r="E60" s="172"/>
      <c r="F60" s="172"/>
      <c r="G60" s="172"/>
      <c r="H60" s="172"/>
      <c r="I60" s="172"/>
      <c r="J60" s="7" t="s">
        <v>913</v>
      </c>
      <c r="K60" s="7" t="s">
        <v>913</v>
      </c>
      <c r="L60" s="7" t="s">
        <v>913</v>
      </c>
      <c r="M60" s="7" t="s">
        <v>913</v>
      </c>
      <c r="N60" s="7" t="s">
        <v>913</v>
      </c>
      <c r="O60" s="7" t="s">
        <v>913</v>
      </c>
      <c r="P60" s="8">
        <f t="shared" si="1"/>
        <v>0</v>
      </c>
      <c r="Q60" s="9" t="s">
        <v>1078</v>
      </c>
      <c r="R60" s="9" t="s">
        <v>1078</v>
      </c>
    </row>
    <row r="61" spans="1:18" ht="54" x14ac:dyDescent="0.25">
      <c r="A61" s="173" t="s">
        <v>1063</v>
      </c>
      <c r="B61" s="172" t="s">
        <v>903</v>
      </c>
      <c r="C61" s="6" t="s">
        <v>398</v>
      </c>
      <c r="D61" s="172" t="s">
        <v>699</v>
      </c>
      <c r="E61" s="172" t="s">
        <v>365</v>
      </c>
      <c r="F61" s="172" t="s">
        <v>655</v>
      </c>
      <c r="G61" s="178">
        <v>0.05</v>
      </c>
      <c r="H61" s="172" t="s">
        <v>1230</v>
      </c>
      <c r="I61" s="172" t="s">
        <v>46</v>
      </c>
      <c r="J61" s="7" t="s">
        <v>913</v>
      </c>
      <c r="K61" s="8">
        <f>20000*1.04</f>
        <v>20800</v>
      </c>
      <c r="L61" s="7" t="s">
        <v>913</v>
      </c>
      <c r="M61" s="7" t="s">
        <v>913</v>
      </c>
      <c r="N61" s="7" t="s">
        <v>913</v>
      </c>
      <c r="O61" s="7" t="s">
        <v>913</v>
      </c>
      <c r="P61" s="8">
        <f t="shared" si="1"/>
        <v>20800</v>
      </c>
      <c r="Q61" s="9" t="s">
        <v>988</v>
      </c>
      <c r="R61" s="9" t="s">
        <v>1210</v>
      </c>
    </row>
    <row r="62" spans="1:18" ht="54" x14ac:dyDescent="0.25">
      <c r="A62" s="173"/>
      <c r="B62" s="172"/>
      <c r="C62" s="6" t="s">
        <v>186</v>
      </c>
      <c r="D62" s="172"/>
      <c r="E62" s="172"/>
      <c r="F62" s="172"/>
      <c r="G62" s="172"/>
      <c r="H62" s="172"/>
      <c r="I62" s="172"/>
      <c r="J62" s="7" t="s">
        <v>913</v>
      </c>
      <c r="K62" s="8">
        <f>12000*1.04</f>
        <v>12480</v>
      </c>
      <c r="L62" s="7" t="s">
        <v>913</v>
      </c>
      <c r="M62" s="7" t="s">
        <v>913</v>
      </c>
      <c r="N62" s="7" t="s">
        <v>913</v>
      </c>
      <c r="O62" s="7" t="s">
        <v>913</v>
      </c>
      <c r="P62" s="8">
        <f t="shared" si="1"/>
        <v>12480</v>
      </c>
      <c r="Q62" s="9" t="s">
        <v>988</v>
      </c>
      <c r="R62" s="9" t="s">
        <v>1210</v>
      </c>
    </row>
    <row r="63" spans="1:18" ht="67.5" x14ac:dyDescent="0.25">
      <c r="A63" s="173"/>
      <c r="B63" s="172"/>
      <c r="C63" s="6" t="s">
        <v>146</v>
      </c>
      <c r="D63" s="172"/>
      <c r="E63" s="172"/>
      <c r="F63" s="172"/>
      <c r="G63" s="172"/>
      <c r="H63" s="172"/>
      <c r="I63" s="172"/>
      <c r="J63" s="7" t="s">
        <v>913</v>
      </c>
      <c r="K63" s="7" t="s">
        <v>913</v>
      </c>
      <c r="L63" s="7" t="s">
        <v>913</v>
      </c>
      <c r="M63" s="7" t="s">
        <v>913</v>
      </c>
      <c r="N63" s="7" t="s">
        <v>913</v>
      </c>
      <c r="O63" s="7" t="s">
        <v>913</v>
      </c>
      <c r="P63" s="8">
        <f t="shared" si="1"/>
        <v>0</v>
      </c>
      <c r="Q63" s="9" t="s">
        <v>914</v>
      </c>
      <c r="R63" s="9" t="s">
        <v>1212</v>
      </c>
    </row>
    <row r="64" spans="1:18" ht="40.5" x14ac:dyDescent="0.25">
      <c r="A64" s="173"/>
      <c r="B64" s="172"/>
      <c r="C64" s="6" t="s">
        <v>634</v>
      </c>
      <c r="D64" s="172"/>
      <c r="E64" s="172"/>
      <c r="F64" s="172"/>
      <c r="G64" s="172"/>
      <c r="H64" s="172"/>
      <c r="I64" s="172"/>
      <c r="J64" s="7" t="s">
        <v>913</v>
      </c>
      <c r="K64" s="7" t="s">
        <v>913</v>
      </c>
      <c r="L64" s="7" t="s">
        <v>913</v>
      </c>
      <c r="M64" s="7" t="s">
        <v>913</v>
      </c>
      <c r="N64" s="7" t="s">
        <v>913</v>
      </c>
      <c r="O64" s="7" t="s">
        <v>913</v>
      </c>
      <c r="P64" s="8">
        <f t="shared" si="1"/>
        <v>0</v>
      </c>
      <c r="Q64" s="9" t="s">
        <v>914</v>
      </c>
      <c r="R64" s="9" t="s">
        <v>1212</v>
      </c>
    </row>
    <row r="65" spans="1:18" ht="54" x14ac:dyDescent="0.25">
      <c r="A65" s="173"/>
      <c r="B65" s="172"/>
      <c r="C65" s="6" t="s">
        <v>361</v>
      </c>
      <c r="D65" s="172"/>
      <c r="E65" s="172"/>
      <c r="F65" s="172"/>
      <c r="G65" s="172"/>
      <c r="H65" s="172"/>
      <c r="I65" s="172"/>
      <c r="J65" s="7" t="s">
        <v>913</v>
      </c>
      <c r="K65" s="7" t="s">
        <v>913</v>
      </c>
      <c r="L65" s="8">
        <f>50000*1.04</f>
        <v>52000</v>
      </c>
      <c r="M65" s="7" t="s">
        <v>913</v>
      </c>
      <c r="N65" s="7" t="s">
        <v>913</v>
      </c>
      <c r="O65" s="7" t="s">
        <v>913</v>
      </c>
      <c r="P65" s="8">
        <f t="shared" si="1"/>
        <v>52000</v>
      </c>
      <c r="Q65" s="9" t="s">
        <v>988</v>
      </c>
      <c r="R65" s="9" t="s">
        <v>1211</v>
      </c>
    </row>
    <row r="66" spans="1:18" ht="54" x14ac:dyDescent="0.25">
      <c r="A66" s="173"/>
      <c r="B66" s="172"/>
      <c r="C66" s="6" t="s">
        <v>362</v>
      </c>
      <c r="D66" s="172"/>
      <c r="E66" s="172"/>
      <c r="F66" s="172"/>
      <c r="G66" s="172"/>
      <c r="H66" s="172"/>
      <c r="I66" s="172"/>
      <c r="J66" s="7" t="s">
        <v>913</v>
      </c>
      <c r="K66" s="7" t="s">
        <v>913</v>
      </c>
      <c r="L66" s="7" t="s">
        <v>913</v>
      </c>
      <c r="M66" s="8">
        <f>(254000)*1.04</f>
        <v>264160</v>
      </c>
      <c r="N66" s="11">
        <f>M66*1.04</f>
        <v>274726.40000000002</v>
      </c>
      <c r="O66" s="7" t="s">
        <v>913</v>
      </c>
      <c r="P66" s="8">
        <f t="shared" si="1"/>
        <v>538886.40000000002</v>
      </c>
      <c r="Q66" s="9" t="s">
        <v>990</v>
      </c>
      <c r="R66" s="9" t="s">
        <v>1211</v>
      </c>
    </row>
    <row r="67" spans="1:18" ht="40.5" x14ac:dyDescent="0.25">
      <c r="A67" s="173"/>
      <c r="B67" s="172"/>
      <c r="C67" s="6" t="s">
        <v>363</v>
      </c>
      <c r="D67" s="172"/>
      <c r="E67" s="172"/>
      <c r="F67" s="172"/>
      <c r="G67" s="172"/>
      <c r="H67" s="172"/>
      <c r="I67" s="172"/>
      <c r="J67" s="7" t="s">
        <v>913</v>
      </c>
      <c r="K67" s="7" t="s">
        <v>913</v>
      </c>
      <c r="L67" s="7" t="s">
        <v>913</v>
      </c>
      <c r="M67" s="7" t="s">
        <v>913</v>
      </c>
      <c r="N67" s="7" t="s">
        <v>913</v>
      </c>
      <c r="O67" s="7" t="s">
        <v>913</v>
      </c>
      <c r="P67" s="8">
        <f t="shared" si="1"/>
        <v>0</v>
      </c>
      <c r="Q67" s="9" t="s">
        <v>1079</v>
      </c>
      <c r="R67" s="9" t="s">
        <v>1079</v>
      </c>
    </row>
    <row r="68" spans="1:18" ht="40.5" x14ac:dyDescent="0.25">
      <c r="A68" s="173"/>
      <c r="B68" s="172"/>
      <c r="C68" s="6" t="s">
        <v>364</v>
      </c>
      <c r="D68" s="172"/>
      <c r="E68" s="172"/>
      <c r="F68" s="172"/>
      <c r="G68" s="172"/>
      <c r="H68" s="172"/>
      <c r="I68" s="172"/>
      <c r="J68" s="7" t="s">
        <v>913</v>
      </c>
      <c r="K68" s="7" t="s">
        <v>913</v>
      </c>
      <c r="L68" s="7" t="s">
        <v>913</v>
      </c>
      <c r="M68" s="7" t="s">
        <v>913</v>
      </c>
      <c r="N68" s="7" t="s">
        <v>913</v>
      </c>
      <c r="O68" s="7" t="s">
        <v>913</v>
      </c>
      <c r="P68" s="8">
        <f t="shared" si="1"/>
        <v>0</v>
      </c>
      <c r="Q68" s="9" t="s">
        <v>1079</v>
      </c>
      <c r="R68" s="9" t="s">
        <v>1079</v>
      </c>
    </row>
    <row r="69" spans="1:18" ht="14.45" customHeight="1" x14ac:dyDescent="0.25">
      <c r="A69" s="136" t="s">
        <v>401</v>
      </c>
      <c r="B69" s="120" t="s">
        <v>1223</v>
      </c>
      <c r="C69" s="118" t="s">
        <v>1188</v>
      </c>
      <c r="D69" s="120" t="s">
        <v>1225</v>
      </c>
      <c r="E69" s="120" t="s">
        <v>1189</v>
      </c>
      <c r="F69" s="120" t="s">
        <v>1190</v>
      </c>
      <c r="G69" s="136">
        <v>0</v>
      </c>
      <c r="H69" s="136" t="s">
        <v>1275</v>
      </c>
      <c r="I69" s="120" t="s">
        <v>324</v>
      </c>
      <c r="J69" s="127" t="s">
        <v>913</v>
      </c>
      <c r="K69" s="127" t="s">
        <v>913</v>
      </c>
      <c r="L69" s="129">
        <f>80000*1.04</f>
        <v>83200</v>
      </c>
      <c r="M69" s="127" t="s">
        <v>913</v>
      </c>
      <c r="N69" s="127" t="s">
        <v>913</v>
      </c>
      <c r="O69" s="127" t="s">
        <v>913</v>
      </c>
      <c r="P69" s="129">
        <f t="shared" si="1"/>
        <v>83200</v>
      </c>
      <c r="Q69" s="118" t="s">
        <v>988</v>
      </c>
      <c r="R69" s="118" t="s">
        <v>1211</v>
      </c>
    </row>
    <row r="70" spans="1:18" ht="49.15" customHeight="1" x14ac:dyDescent="0.25">
      <c r="A70" s="136"/>
      <c r="B70" s="120"/>
      <c r="C70" s="119"/>
      <c r="D70" s="120"/>
      <c r="E70" s="120"/>
      <c r="F70" s="120"/>
      <c r="G70" s="136"/>
      <c r="H70" s="136"/>
      <c r="I70" s="136"/>
      <c r="J70" s="128"/>
      <c r="K70" s="128"/>
      <c r="L70" s="130"/>
      <c r="M70" s="128"/>
      <c r="N70" s="128"/>
      <c r="O70" s="128"/>
      <c r="P70" s="130"/>
      <c r="Q70" s="119"/>
      <c r="R70" s="119"/>
    </row>
    <row r="71" spans="1:18" ht="146.44999999999999" customHeight="1" x14ac:dyDescent="0.25">
      <c r="A71" s="136"/>
      <c r="B71" s="120"/>
      <c r="C71" s="9" t="s">
        <v>1224</v>
      </c>
      <c r="D71" s="120"/>
      <c r="E71" s="120"/>
      <c r="F71" s="120"/>
      <c r="G71" s="136"/>
      <c r="H71" s="136"/>
      <c r="I71" s="136"/>
      <c r="J71" s="7" t="s">
        <v>913</v>
      </c>
      <c r="K71" s="7" t="s">
        <v>913</v>
      </c>
      <c r="L71" s="7" t="s">
        <v>913</v>
      </c>
      <c r="M71" s="7" t="s">
        <v>913</v>
      </c>
      <c r="N71" s="7" t="s">
        <v>913</v>
      </c>
      <c r="O71" s="7" t="s">
        <v>913</v>
      </c>
      <c r="P71" s="8">
        <f t="shared" si="1"/>
        <v>0</v>
      </c>
      <c r="Q71" s="9" t="s">
        <v>1080</v>
      </c>
      <c r="R71" s="9" t="s">
        <v>1080</v>
      </c>
    </row>
    <row r="72" spans="1:18" ht="108" x14ac:dyDescent="0.25">
      <c r="A72" s="136" t="s">
        <v>157</v>
      </c>
      <c r="B72" s="120" t="s">
        <v>367</v>
      </c>
      <c r="C72" s="9" t="s">
        <v>395</v>
      </c>
      <c r="D72" s="120" t="s">
        <v>694</v>
      </c>
      <c r="E72" s="120" t="s">
        <v>368</v>
      </c>
      <c r="F72" s="120" t="s">
        <v>400</v>
      </c>
      <c r="G72" s="120">
        <v>0</v>
      </c>
      <c r="H72" s="120" t="s">
        <v>1274</v>
      </c>
      <c r="I72" s="120" t="s">
        <v>46</v>
      </c>
      <c r="J72" s="7" t="s">
        <v>913</v>
      </c>
      <c r="K72" s="7" t="s">
        <v>913</v>
      </c>
      <c r="L72" s="8">
        <f>10000*1.04</f>
        <v>10400</v>
      </c>
      <c r="M72" s="8">
        <f>+L72*1.04</f>
        <v>10816</v>
      </c>
      <c r="N72" s="7" t="s">
        <v>913</v>
      </c>
      <c r="O72" s="8">
        <f>+M72*1.04</f>
        <v>11248.640000000001</v>
      </c>
      <c r="P72" s="8">
        <f t="shared" si="1"/>
        <v>32464.639999999999</v>
      </c>
      <c r="Q72" s="9" t="s">
        <v>988</v>
      </c>
      <c r="R72" s="9" t="s">
        <v>1211</v>
      </c>
    </row>
    <row r="73" spans="1:18" ht="108" x14ac:dyDescent="0.25">
      <c r="A73" s="136"/>
      <c r="B73" s="120"/>
      <c r="C73" s="9" t="s">
        <v>396</v>
      </c>
      <c r="D73" s="120"/>
      <c r="E73" s="120"/>
      <c r="F73" s="120"/>
      <c r="G73" s="120"/>
      <c r="H73" s="120"/>
      <c r="I73" s="120"/>
      <c r="J73" s="7" t="s">
        <v>913</v>
      </c>
      <c r="K73" s="7" t="s">
        <v>913</v>
      </c>
      <c r="L73" s="7" t="s">
        <v>913</v>
      </c>
      <c r="M73" s="7" t="s">
        <v>913</v>
      </c>
      <c r="N73" s="7" t="s">
        <v>913</v>
      </c>
      <c r="O73" s="7" t="s">
        <v>913</v>
      </c>
      <c r="P73" s="8">
        <f t="shared" si="1"/>
        <v>0</v>
      </c>
      <c r="Q73" s="9" t="s">
        <v>1081</v>
      </c>
      <c r="R73" s="9" t="s">
        <v>1081</v>
      </c>
    </row>
    <row r="74" spans="1:18" ht="81" x14ac:dyDescent="0.25">
      <c r="A74" s="136"/>
      <c r="B74" s="120"/>
      <c r="C74" s="9" t="s">
        <v>399</v>
      </c>
      <c r="D74" s="120"/>
      <c r="E74" s="120"/>
      <c r="F74" s="120"/>
      <c r="G74" s="120"/>
      <c r="H74" s="120"/>
      <c r="I74" s="120"/>
      <c r="J74" s="7" t="s">
        <v>913</v>
      </c>
      <c r="K74" s="7" t="s">
        <v>913</v>
      </c>
      <c r="L74" s="7" t="s">
        <v>913</v>
      </c>
      <c r="M74" s="7" t="s">
        <v>913</v>
      </c>
      <c r="N74" s="7" t="s">
        <v>913</v>
      </c>
      <c r="O74" s="7" t="s">
        <v>913</v>
      </c>
      <c r="P74" s="8">
        <f t="shared" si="1"/>
        <v>0</v>
      </c>
      <c r="Q74" s="9" t="s">
        <v>1081</v>
      </c>
      <c r="R74" s="9" t="s">
        <v>1081</v>
      </c>
    </row>
    <row r="75" spans="1:18" x14ac:dyDescent="0.25">
      <c r="A75" s="142" t="s">
        <v>303</v>
      </c>
      <c r="B75" s="143"/>
      <c r="C75" s="143"/>
      <c r="D75" s="143"/>
      <c r="E75" s="143"/>
      <c r="F75" s="143"/>
      <c r="G75" s="143"/>
      <c r="H75" s="143"/>
      <c r="I75" s="144"/>
      <c r="J75" s="77"/>
      <c r="K75" s="77"/>
      <c r="L75" s="77"/>
      <c r="M75" s="77"/>
      <c r="N75" s="77"/>
      <c r="O75" s="77"/>
      <c r="P75" s="78">
        <f>SUM(P48:P74)</f>
        <v>1507229.44</v>
      </c>
      <c r="Q75" s="77"/>
      <c r="R75" s="79"/>
    </row>
    <row r="76" spans="1:18" ht="14.25" x14ac:dyDescent="0.25">
      <c r="A76" s="169" t="s">
        <v>10</v>
      </c>
      <c r="B76" s="170"/>
      <c r="C76" s="170"/>
      <c r="D76" s="170"/>
      <c r="E76" s="170"/>
      <c r="F76" s="170"/>
      <c r="G76" s="170"/>
      <c r="H76" s="170"/>
      <c r="I76" s="171"/>
      <c r="J76" s="80"/>
      <c r="K76" s="80"/>
      <c r="L76" s="80"/>
      <c r="M76" s="80"/>
      <c r="N76" s="80"/>
      <c r="O76" s="80"/>
      <c r="P76" s="80"/>
      <c r="Q76" s="80"/>
      <c r="R76" s="81"/>
    </row>
    <row r="77" spans="1:18" ht="54" x14ac:dyDescent="0.25">
      <c r="A77" s="136" t="s">
        <v>304</v>
      </c>
      <c r="B77" s="120" t="s">
        <v>344</v>
      </c>
      <c r="C77" s="9" t="s">
        <v>171</v>
      </c>
      <c r="D77" s="120" t="s">
        <v>700</v>
      </c>
      <c r="E77" s="120" t="s">
        <v>177</v>
      </c>
      <c r="F77" s="120" t="s">
        <v>742</v>
      </c>
      <c r="G77" s="141">
        <v>0.05</v>
      </c>
      <c r="H77" s="120" t="s">
        <v>1273</v>
      </c>
      <c r="I77" s="136" t="s">
        <v>46</v>
      </c>
      <c r="J77" s="7" t="s">
        <v>913</v>
      </c>
      <c r="K77" s="7" t="s">
        <v>913</v>
      </c>
      <c r="L77" s="8">
        <f>24000*1.04</f>
        <v>24960</v>
      </c>
      <c r="M77" s="7" t="s">
        <v>913</v>
      </c>
      <c r="N77" s="7" t="s">
        <v>913</v>
      </c>
      <c r="O77" s="7" t="s">
        <v>913</v>
      </c>
      <c r="P77" s="8">
        <f t="shared" ref="P77:P84" si="2">SUM(J77:O77)</f>
        <v>24960</v>
      </c>
      <c r="Q77" s="9" t="s">
        <v>988</v>
      </c>
      <c r="R77" s="9" t="s">
        <v>1211</v>
      </c>
    </row>
    <row r="78" spans="1:18" ht="40.5" x14ac:dyDescent="0.25">
      <c r="A78" s="136"/>
      <c r="B78" s="120"/>
      <c r="C78" s="9" t="s">
        <v>172</v>
      </c>
      <c r="D78" s="120"/>
      <c r="E78" s="120"/>
      <c r="F78" s="120"/>
      <c r="G78" s="120"/>
      <c r="H78" s="120"/>
      <c r="I78" s="136"/>
      <c r="J78" s="7" t="s">
        <v>913</v>
      </c>
      <c r="K78" s="7" t="s">
        <v>913</v>
      </c>
      <c r="L78" s="7" t="s">
        <v>913</v>
      </c>
      <c r="M78" s="7" t="s">
        <v>913</v>
      </c>
      <c r="N78" s="7" t="s">
        <v>913</v>
      </c>
      <c r="O78" s="7" t="s">
        <v>913</v>
      </c>
      <c r="P78" s="8">
        <f t="shared" si="2"/>
        <v>0</v>
      </c>
      <c r="Q78" s="9" t="s">
        <v>991</v>
      </c>
      <c r="R78" s="9" t="s">
        <v>991</v>
      </c>
    </row>
    <row r="79" spans="1:18" ht="148.5" x14ac:dyDescent="0.25">
      <c r="A79" s="136"/>
      <c r="B79" s="120"/>
      <c r="C79" s="9" t="s">
        <v>561</v>
      </c>
      <c r="D79" s="120"/>
      <c r="E79" s="120"/>
      <c r="F79" s="120"/>
      <c r="G79" s="120"/>
      <c r="H79" s="120"/>
      <c r="I79" s="136"/>
      <c r="J79" s="7" t="s">
        <v>913</v>
      </c>
      <c r="K79" s="7" t="s">
        <v>913</v>
      </c>
      <c r="L79" s="7" t="s">
        <v>913</v>
      </c>
      <c r="M79" s="7" t="s">
        <v>913</v>
      </c>
      <c r="N79" s="7" t="s">
        <v>913</v>
      </c>
      <c r="O79" s="7" t="s">
        <v>913</v>
      </c>
      <c r="P79" s="8">
        <f t="shared" si="2"/>
        <v>0</v>
      </c>
      <c r="Q79" s="9" t="s">
        <v>991</v>
      </c>
      <c r="R79" s="9" t="s">
        <v>991</v>
      </c>
    </row>
    <row r="80" spans="1:18" ht="54" x14ac:dyDescent="0.25">
      <c r="A80" s="136"/>
      <c r="B80" s="120"/>
      <c r="C80" s="9" t="s">
        <v>173</v>
      </c>
      <c r="D80" s="120"/>
      <c r="E80" s="120"/>
      <c r="F80" s="120"/>
      <c r="G80" s="120"/>
      <c r="H80" s="120"/>
      <c r="I80" s="136"/>
      <c r="J80" s="7" t="s">
        <v>913</v>
      </c>
      <c r="K80" s="7" t="s">
        <v>913</v>
      </c>
      <c r="L80" s="7" t="s">
        <v>913</v>
      </c>
      <c r="M80" s="7" t="s">
        <v>913</v>
      </c>
      <c r="N80" s="7" t="s">
        <v>913</v>
      </c>
      <c r="O80" s="7" t="s">
        <v>913</v>
      </c>
      <c r="P80" s="8">
        <f t="shared" si="2"/>
        <v>0</v>
      </c>
      <c r="Q80" s="9" t="s">
        <v>914</v>
      </c>
      <c r="R80" s="9" t="s">
        <v>1212</v>
      </c>
    </row>
    <row r="81" spans="1:18" ht="54" x14ac:dyDescent="0.25">
      <c r="A81" s="136"/>
      <c r="B81" s="120"/>
      <c r="C81" s="9" t="s">
        <v>639</v>
      </c>
      <c r="D81" s="120"/>
      <c r="E81" s="120"/>
      <c r="F81" s="120"/>
      <c r="G81" s="120"/>
      <c r="H81" s="120"/>
      <c r="I81" s="136"/>
      <c r="J81" s="7" t="s">
        <v>913</v>
      </c>
      <c r="K81" s="7" t="s">
        <v>913</v>
      </c>
      <c r="L81" s="13">
        <v>800000</v>
      </c>
      <c r="M81" s="7" t="s">
        <v>913</v>
      </c>
      <c r="N81" s="13">
        <v>400000</v>
      </c>
      <c r="O81" s="7" t="s">
        <v>913</v>
      </c>
      <c r="P81" s="8">
        <f t="shared" si="2"/>
        <v>1200000</v>
      </c>
      <c r="Q81" s="9" t="s">
        <v>1215</v>
      </c>
      <c r="R81" s="9" t="s">
        <v>1211</v>
      </c>
    </row>
    <row r="82" spans="1:18" ht="40.5" x14ac:dyDescent="0.25">
      <c r="A82" s="136"/>
      <c r="B82" s="120"/>
      <c r="C82" s="9" t="s">
        <v>174</v>
      </c>
      <c r="D82" s="120"/>
      <c r="E82" s="120"/>
      <c r="F82" s="120"/>
      <c r="G82" s="120"/>
      <c r="H82" s="120"/>
      <c r="I82" s="136"/>
      <c r="J82" s="7" t="s">
        <v>913</v>
      </c>
      <c r="K82" s="7" t="s">
        <v>913</v>
      </c>
      <c r="L82" s="7" t="s">
        <v>913</v>
      </c>
      <c r="M82" s="7" t="s">
        <v>913</v>
      </c>
      <c r="N82" s="7" t="s">
        <v>913</v>
      </c>
      <c r="O82" s="7" t="s">
        <v>913</v>
      </c>
      <c r="P82" s="8">
        <f t="shared" si="2"/>
        <v>0</v>
      </c>
      <c r="Q82" s="9" t="s">
        <v>991</v>
      </c>
      <c r="R82" s="9" t="s">
        <v>991</v>
      </c>
    </row>
    <row r="83" spans="1:18" ht="54" x14ac:dyDescent="0.25">
      <c r="A83" s="136"/>
      <c r="B83" s="120"/>
      <c r="C83" s="9" t="s">
        <v>176</v>
      </c>
      <c r="D83" s="120"/>
      <c r="E83" s="120"/>
      <c r="F83" s="120"/>
      <c r="G83" s="120"/>
      <c r="H83" s="120"/>
      <c r="I83" s="136"/>
      <c r="J83" s="7" t="s">
        <v>913</v>
      </c>
      <c r="K83" s="7" t="s">
        <v>913</v>
      </c>
      <c r="L83" s="7" t="s">
        <v>913</v>
      </c>
      <c r="M83" s="7" t="s">
        <v>913</v>
      </c>
      <c r="N83" s="7" t="s">
        <v>913</v>
      </c>
      <c r="O83" s="7" t="s">
        <v>913</v>
      </c>
      <c r="P83" s="8">
        <f t="shared" si="2"/>
        <v>0</v>
      </c>
      <c r="Q83" s="9" t="s">
        <v>991</v>
      </c>
      <c r="R83" s="9" t="s">
        <v>991</v>
      </c>
    </row>
    <row r="84" spans="1:18" ht="54" x14ac:dyDescent="0.25">
      <c r="A84" s="136"/>
      <c r="B84" s="120"/>
      <c r="C84" s="9" t="s">
        <v>175</v>
      </c>
      <c r="D84" s="120"/>
      <c r="E84" s="120"/>
      <c r="F84" s="120"/>
      <c r="G84" s="120"/>
      <c r="H84" s="120"/>
      <c r="I84" s="136"/>
      <c r="J84" s="7" t="s">
        <v>913</v>
      </c>
      <c r="K84" s="7" t="s">
        <v>913</v>
      </c>
      <c r="L84" s="13">
        <f>+(1000*10)*1.04</f>
        <v>10400</v>
      </c>
      <c r="M84" s="7" t="s">
        <v>913</v>
      </c>
      <c r="N84" s="7" t="s">
        <v>913</v>
      </c>
      <c r="O84" s="7" t="s">
        <v>913</v>
      </c>
      <c r="P84" s="8">
        <f t="shared" si="2"/>
        <v>10400</v>
      </c>
      <c r="Q84" s="9" t="s">
        <v>992</v>
      </c>
      <c r="R84" s="9" t="s">
        <v>1211</v>
      </c>
    </row>
    <row r="85" spans="1:18" ht="54" x14ac:dyDescent="0.25">
      <c r="A85" s="136" t="s">
        <v>158</v>
      </c>
      <c r="B85" s="120" t="s">
        <v>345</v>
      </c>
      <c r="C85" s="9" t="s">
        <v>562</v>
      </c>
      <c r="D85" s="120" t="s">
        <v>904</v>
      </c>
      <c r="E85" s="120" t="s">
        <v>152</v>
      </c>
      <c r="F85" s="120" t="s">
        <v>743</v>
      </c>
      <c r="G85" s="136">
        <v>0</v>
      </c>
      <c r="H85" s="136" t="s">
        <v>1252</v>
      </c>
      <c r="I85" s="136" t="s">
        <v>46</v>
      </c>
      <c r="J85" s="14">
        <v>4723157.3</v>
      </c>
      <c r="K85" s="14">
        <v>2253424.1</v>
      </c>
      <c r="L85" s="14">
        <v>2685258.1</v>
      </c>
      <c r="M85" s="11" t="s">
        <v>913</v>
      </c>
      <c r="N85" s="7" t="s">
        <v>913</v>
      </c>
      <c r="O85" s="7" t="s">
        <v>913</v>
      </c>
      <c r="P85" s="8">
        <f>SUM(J85:N85)</f>
        <v>9661839.5</v>
      </c>
      <c r="Q85" s="9" t="s">
        <v>993</v>
      </c>
      <c r="R85" s="9" t="s">
        <v>1222</v>
      </c>
    </row>
    <row r="86" spans="1:18" ht="54" x14ac:dyDescent="0.25">
      <c r="A86" s="136"/>
      <c r="B86" s="120"/>
      <c r="C86" s="9" t="s">
        <v>403</v>
      </c>
      <c r="D86" s="120"/>
      <c r="E86" s="120"/>
      <c r="F86" s="120"/>
      <c r="G86" s="136"/>
      <c r="H86" s="136"/>
      <c r="I86" s="136"/>
      <c r="J86" s="7" t="s">
        <v>913</v>
      </c>
      <c r="K86" s="7" t="s">
        <v>913</v>
      </c>
      <c r="L86" s="7" t="s">
        <v>913</v>
      </c>
      <c r="M86" s="7" t="s">
        <v>913</v>
      </c>
      <c r="N86" s="7" t="s">
        <v>913</v>
      </c>
      <c r="O86" s="7" t="s">
        <v>913</v>
      </c>
      <c r="P86" s="8">
        <f t="shared" ref="P86:P104" si="3">SUM(J86:O86)</f>
        <v>0</v>
      </c>
      <c r="Q86" s="9" t="s">
        <v>994</v>
      </c>
      <c r="R86" s="9" t="s">
        <v>994</v>
      </c>
    </row>
    <row r="87" spans="1:18" ht="67.5" x14ac:dyDescent="0.25">
      <c r="A87" s="136" t="s">
        <v>412</v>
      </c>
      <c r="B87" s="120" t="s">
        <v>625</v>
      </c>
      <c r="C87" s="9" t="s">
        <v>179</v>
      </c>
      <c r="D87" s="120" t="s">
        <v>1293</v>
      </c>
      <c r="E87" s="120" t="s">
        <v>184</v>
      </c>
      <c r="F87" s="120" t="s">
        <v>656</v>
      </c>
      <c r="G87" s="136">
        <v>0</v>
      </c>
      <c r="H87" s="136" t="s">
        <v>1230</v>
      </c>
      <c r="I87" s="136" t="s">
        <v>46</v>
      </c>
      <c r="J87" s="7" t="s">
        <v>913</v>
      </c>
      <c r="K87" s="8">
        <f>40000*1.04</f>
        <v>41600</v>
      </c>
      <c r="L87" s="7" t="s">
        <v>913</v>
      </c>
      <c r="M87" s="7" t="s">
        <v>913</v>
      </c>
      <c r="N87" s="7" t="s">
        <v>913</v>
      </c>
      <c r="O87" s="7" t="s">
        <v>913</v>
      </c>
      <c r="P87" s="8">
        <f t="shared" si="3"/>
        <v>41600</v>
      </c>
      <c r="Q87" s="9" t="s">
        <v>988</v>
      </c>
      <c r="R87" s="9" t="s">
        <v>1210</v>
      </c>
    </row>
    <row r="88" spans="1:18" ht="94.5" x14ac:dyDescent="0.25">
      <c r="A88" s="136"/>
      <c r="B88" s="120"/>
      <c r="C88" s="9" t="s">
        <v>180</v>
      </c>
      <c r="D88" s="120"/>
      <c r="E88" s="120"/>
      <c r="F88" s="120"/>
      <c r="G88" s="136"/>
      <c r="H88" s="136"/>
      <c r="I88" s="136"/>
      <c r="J88" s="7" t="s">
        <v>913</v>
      </c>
      <c r="K88" s="7" t="s">
        <v>913</v>
      </c>
      <c r="L88" s="7" t="s">
        <v>913</v>
      </c>
      <c r="M88" s="7" t="s">
        <v>913</v>
      </c>
      <c r="N88" s="7" t="s">
        <v>913</v>
      </c>
      <c r="O88" s="7" t="s">
        <v>913</v>
      </c>
      <c r="P88" s="8">
        <f t="shared" si="3"/>
        <v>0</v>
      </c>
      <c r="Q88" s="9" t="s">
        <v>995</v>
      </c>
      <c r="R88" s="9" t="s">
        <v>995</v>
      </c>
    </row>
    <row r="89" spans="1:18" ht="67.5" x14ac:dyDescent="0.25">
      <c r="A89" s="136"/>
      <c r="B89" s="120"/>
      <c r="C89" s="9" t="s">
        <v>410</v>
      </c>
      <c r="D89" s="120"/>
      <c r="E89" s="120"/>
      <c r="F89" s="120"/>
      <c r="G89" s="136"/>
      <c r="H89" s="136"/>
      <c r="I89" s="136"/>
      <c r="J89" s="7" t="s">
        <v>913</v>
      </c>
      <c r="K89" s="7" t="s">
        <v>913</v>
      </c>
      <c r="L89" s="7" t="s">
        <v>913</v>
      </c>
      <c r="M89" s="7" t="s">
        <v>913</v>
      </c>
      <c r="N89" s="7" t="s">
        <v>913</v>
      </c>
      <c r="O89" s="7" t="s">
        <v>913</v>
      </c>
      <c r="P89" s="8">
        <f t="shared" si="3"/>
        <v>0</v>
      </c>
      <c r="Q89" s="9" t="s">
        <v>914</v>
      </c>
      <c r="R89" s="9" t="s">
        <v>1212</v>
      </c>
    </row>
    <row r="90" spans="1:18" ht="54" x14ac:dyDescent="0.25">
      <c r="A90" s="136"/>
      <c r="B90" s="120"/>
      <c r="C90" s="9" t="s">
        <v>181</v>
      </c>
      <c r="D90" s="120"/>
      <c r="E90" s="120"/>
      <c r="F90" s="120"/>
      <c r="G90" s="136"/>
      <c r="H90" s="136"/>
      <c r="I90" s="136"/>
      <c r="J90" s="7" t="s">
        <v>913</v>
      </c>
      <c r="K90" s="8">
        <v>468000</v>
      </c>
      <c r="L90" s="8">
        <f>(8100000/8)*1.04</f>
        <v>1053000</v>
      </c>
      <c r="M90" s="7" t="s">
        <v>913</v>
      </c>
      <c r="N90" s="11">
        <f>L90*1.04</f>
        <v>1095120</v>
      </c>
      <c r="O90" s="11" t="s">
        <v>913</v>
      </c>
      <c r="P90" s="8">
        <f t="shared" si="3"/>
        <v>2616120</v>
      </c>
      <c r="Q90" s="9" t="s">
        <v>996</v>
      </c>
      <c r="R90" s="65"/>
    </row>
    <row r="91" spans="1:18" ht="40.5" x14ac:dyDescent="0.25">
      <c r="A91" s="136"/>
      <c r="B91" s="120"/>
      <c r="C91" s="9" t="s">
        <v>182</v>
      </c>
      <c r="D91" s="120"/>
      <c r="E91" s="120"/>
      <c r="F91" s="120"/>
      <c r="G91" s="136"/>
      <c r="H91" s="136"/>
      <c r="I91" s="136"/>
      <c r="J91" s="7" t="s">
        <v>913</v>
      </c>
      <c r="K91" s="7" t="s">
        <v>913</v>
      </c>
      <c r="L91" s="7" t="s">
        <v>913</v>
      </c>
      <c r="M91" s="8">
        <f>(150*100)*1.04</f>
        <v>15600</v>
      </c>
      <c r="N91" s="8">
        <f>M91*1.04</f>
        <v>16224</v>
      </c>
      <c r="O91" s="7" t="s">
        <v>913</v>
      </c>
      <c r="P91" s="8">
        <f t="shared" si="3"/>
        <v>31824</v>
      </c>
      <c r="Q91" s="9" t="s">
        <v>997</v>
      </c>
      <c r="R91" s="9" t="s">
        <v>1211</v>
      </c>
    </row>
    <row r="92" spans="1:18" ht="40.5" x14ac:dyDescent="0.25">
      <c r="A92" s="136"/>
      <c r="B92" s="120"/>
      <c r="C92" s="9" t="s">
        <v>183</v>
      </c>
      <c r="D92" s="120"/>
      <c r="E92" s="120"/>
      <c r="F92" s="120"/>
      <c r="G92" s="136"/>
      <c r="H92" s="136"/>
      <c r="I92" s="136"/>
      <c r="J92" s="7" t="s">
        <v>913</v>
      </c>
      <c r="K92" s="7" t="s">
        <v>913</v>
      </c>
      <c r="L92" s="7" t="s">
        <v>913</v>
      </c>
      <c r="M92" s="7" t="s">
        <v>913</v>
      </c>
      <c r="N92" s="7" t="s">
        <v>913</v>
      </c>
      <c r="O92" s="7" t="s">
        <v>913</v>
      </c>
      <c r="P92" s="8">
        <f t="shared" si="3"/>
        <v>0</v>
      </c>
      <c r="Q92" s="9" t="s">
        <v>998</v>
      </c>
      <c r="R92" s="9" t="s">
        <v>998</v>
      </c>
    </row>
    <row r="93" spans="1:18" ht="108.6" customHeight="1" x14ac:dyDescent="0.25">
      <c r="A93" s="136"/>
      <c r="B93" s="120"/>
      <c r="C93" s="9" t="s">
        <v>626</v>
      </c>
      <c r="D93" s="120"/>
      <c r="E93" s="120"/>
      <c r="F93" s="120"/>
      <c r="G93" s="136"/>
      <c r="H93" s="136"/>
      <c r="I93" s="136"/>
      <c r="J93" s="7" t="s">
        <v>913</v>
      </c>
      <c r="K93" s="7" t="s">
        <v>913</v>
      </c>
      <c r="L93" s="8">
        <f>50000*1.04</f>
        <v>52000</v>
      </c>
      <c r="M93" s="7" t="s">
        <v>913</v>
      </c>
      <c r="N93" s="8">
        <f>L93*1.04</f>
        <v>54080</v>
      </c>
      <c r="O93" s="7" t="s">
        <v>913</v>
      </c>
      <c r="P93" s="8">
        <f t="shared" si="3"/>
        <v>106080</v>
      </c>
      <c r="Q93" s="9" t="s">
        <v>988</v>
      </c>
      <c r="R93" s="9" t="s">
        <v>1211</v>
      </c>
    </row>
    <row r="94" spans="1:18" ht="54" x14ac:dyDescent="0.25">
      <c r="A94" s="136" t="s">
        <v>159</v>
      </c>
      <c r="B94" s="120" t="s">
        <v>348</v>
      </c>
      <c r="C94" s="9" t="s">
        <v>250</v>
      </c>
      <c r="D94" s="120" t="s">
        <v>701</v>
      </c>
      <c r="E94" s="120" t="s">
        <v>254</v>
      </c>
      <c r="F94" s="120" t="s">
        <v>255</v>
      </c>
      <c r="G94" s="136">
        <v>0</v>
      </c>
      <c r="H94" s="120" t="s">
        <v>1272</v>
      </c>
      <c r="I94" s="136" t="s">
        <v>46</v>
      </c>
      <c r="J94" s="7" t="s">
        <v>913</v>
      </c>
      <c r="K94" s="8">
        <f>80000*1.04</f>
        <v>83200</v>
      </c>
      <c r="L94" s="7" t="s">
        <v>913</v>
      </c>
      <c r="M94" s="7" t="s">
        <v>913</v>
      </c>
      <c r="N94" s="7" t="s">
        <v>913</v>
      </c>
      <c r="O94" s="7" t="s">
        <v>913</v>
      </c>
      <c r="P94" s="8">
        <f t="shared" si="3"/>
        <v>83200</v>
      </c>
      <c r="Q94" s="9" t="s">
        <v>988</v>
      </c>
      <c r="R94" s="9" t="s">
        <v>1210</v>
      </c>
    </row>
    <row r="95" spans="1:18" ht="108" x14ac:dyDescent="0.25">
      <c r="A95" s="136"/>
      <c r="B95" s="120"/>
      <c r="C95" s="9" t="s">
        <v>251</v>
      </c>
      <c r="D95" s="120"/>
      <c r="E95" s="120"/>
      <c r="F95" s="120"/>
      <c r="G95" s="136"/>
      <c r="H95" s="120"/>
      <c r="I95" s="136"/>
      <c r="J95" s="7" t="s">
        <v>913</v>
      </c>
      <c r="K95" s="7" t="s">
        <v>913</v>
      </c>
      <c r="L95" s="7" t="s">
        <v>913</v>
      </c>
      <c r="M95" s="7" t="s">
        <v>913</v>
      </c>
      <c r="N95" s="7" t="s">
        <v>913</v>
      </c>
      <c r="O95" s="7" t="s">
        <v>913</v>
      </c>
      <c r="P95" s="8">
        <f t="shared" si="3"/>
        <v>0</v>
      </c>
      <c r="Q95" s="9" t="s">
        <v>914</v>
      </c>
      <c r="R95" s="9" t="s">
        <v>1212</v>
      </c>
    </row>
    <row r="96" spans="1:18" ht="135" x14ac:dyDescent="0.25">
      <c r="A96" s="136"/>
      <c r="B96" s="120"/>
      <c r="C96" s="9" t="s">
        <v>252</v>
      </c>
      <c r="D96" s="120"/>
      <c r="E96" s="120"/>
      <c r="F96" s="120"/>
      <c r="G96" s="136"/>
      <c r="H96" s="120"/>
      <c r="I96" s="136"/>
      <c r="J96" s="7" t="s">
        <v>913</v>
      </c>
      <c r="K96" s="7" t="s">
        <v>913</v>
      </c>
      <c r="L96" s="7" t="s">
        <v>913</v>
      </c>
      <c r="M96" s="7" t="s">
        <v>913</v>
      </c>
      <c r="N96" s="7" t="s">
        <v>913</v>
      </c>
      <c r="O96" s="7" t="s">
        <v>913</v>
      </c>
      <c r="P96" s="8">
        <f t="shared" si="3"/>
        <v>0</v>
      </c>
      <c r="Q96" s="9" t="s">
        <v>999</v>
      </c>
      <c r="R96" s="9" t="s">
        <v>999</v>
      </c>
    </row>
    <row r="97" spans="1:18" ht="67.5" x14ac:dyDescent="0.25">
      <c r="A97" s="136"/>
      <c r="B97" s="120"/>
      <c r="C97" s="9" t="s">
        <v>411</v>
      </c>
      <c r="D97" s="120"/>
      <c r="E97" s="120"/>
      <c r="F97" s="120"/>
      <c r="G97" s="136"/>
      <c r="H97" s="120"/>
      <c r="I97" s="136"/>
      <c r="J97" s="7" t="s">
        <v>913</v>
      </c>
      <c r="K97" s="7" t="s">
        <v>913</v>
      </c>
      <c r="L97" s="7" t="s">
        <v>913</v>
      </c>
      <c r="M97" s="7" t="s">
        <v>913</v>
      </c>
      <c r="N97" s="7" t="s">
        <v>913</v>
      </c>
      <c r="O97" s="7" t="s">
        <v>913</v>
      </c>
      <c r="P97" s="8">
        <f t="shared" si="3"/>
        <v>0</v>
      </c>
      <c r="Q97" s="9" t="s">
        <v>914</v>
      </c>
      <c r="R97" s="9" t="s">
        <v>1212</v>
      </c>
    </row>
    <row r="98" spans="1:18" ht="54" x14ac:dyDescent="0.25">
      <c r="A98" s="136"/>
      <c r="B98" s="120"/>
      <c r="C98" s="9" t="s">
        <v>253</v>
      </c>
      <c r="D98" s="120"/>
      <c r="E98" s="120"/>
      <c r="F98" s="120"/>
      <c r="G98" s="136"/>
      <c r="H98" s="120"/>
      <c r="I98" s="136"/>
      <c r="J98" s="7" t="s">
        <v>913</v>
      </c>
      <c r="K98" s="7" t="s">
        <v>913</v>
      </c>
      <c r="L98" s="7" t="s">
        <v>913</v>
      </c>
      <c r="M98" s="7" t="s">
        <v>913</v>
      </c>
      <c r="N98" s="7" t="s">
        <v>913</v>
      </c>
      <c r="O98" s="7" t="s">
        <v>913</v>
      </c>
      <c r="P98" s="8">
        <f t="shared" si="3"/>
        <v>0</v>
      </c>
      <c r="Q98" s="9" t="s">
        <v>914</v>
      </c>
      <c r="R98" s="9" t="s">
        <v>1212</v>
      </c>
    </row>
    <row r="99" spans="1:18" ht="54" x14ac:dyDescent="0.25">
      <c r="A99" s="136" t="s">
        <v>305</v>
      </c>
      <c r="B99" s="120" t="s">
        <v>354</v>
      </c>
      <c r="C99" s="9" t="s">
        <v>404</v>
      </c>
      <c r="D99" s="120" t="s">
        <v>702</v>
      </c>
      <c r="E99" s="120" t="s">
        <v>178</v>
      </c>
      <c r="F99" s="120" t="s">
        <v>657</v>
      </c>
      <c r="G99" s="136">
        <v>0</v>
      </c>
      <c r="H99" s="120" t="s">
        <v>1253</v>
      </c>
      <c r="I99" s="120" t="s">
        <v>46</v>
      </c>
      <c r="J99" s="7" t="s">
        <v>913</v>
      </c>
      <c r="K99" s="8">
        <f>14000*1.04</f>
        <v>14560</v>
      </c>
      <c r="L99" s="7" t="s">
        <v>913</v>
      </c>
      <c r="M99" s="7" t="s">
        <v>913</v>
      </c>
      <c r="N99" s="7" t="s">
        <v>913</v>
      </c>
      <c r="O99" s="7" t="s">
        <v>913</v>
      </c>
      <c r="P99" s="8">
        <f t="shared" si="3"/>
        <v>14560</v>
      </c>
      <c r="Q99" s="9" t="s">
        <v>988</v>
      </c>
      <c r="R99" s="9" t="s">
        <v>1211</v>
      </c>
    </row>
    <row r="100" spans="1:18" ht="40.5" x14ac:dyDescent="0.25">
      <c r="A100" s="136"/>
      <c r="B100" s="120"/>
      <c r="C100" s="9" t="s">
        <v>405</v>
      </c>
      <c r="D100" s="120"/>
      <c r="E100" s="120"/>
      <c r="F100" s="120"/>
      <c r="G100" s="136"/>
      <c r="H100" s="136"/>
      <c r="I100" s="120"/>
      <c r="J100" s="7" t="s">
        <v>913</v>
      </c>
      <c r="K100" s="7" t="s">
        <v>913</v>
      </c>
      <c r="L100" s="8">
        <f>+(20*1000)*1.04</f>
        <v>20800</v>
      </c>
      <c r="M100" s="7" t="s">
        <v>913</v>
      </c>
      <c r="N100" s="7" t="s">
        <v>913</v>
      </c>
      <c r="O100" s="7" t="s">
        <v>913</v>
      </c>
      <c r="P100" s="8">
        <f t="shared" si="3"/>
        <v>20800</v>
      </c>
      <c r="Q100" s="9" t="s">
        <v>1000</v>
      </c>
      <c r="R100" s="9" t="s">
        <v>1211</v>
      </c>
    </row>
    <row r="101" spans="1:18" ht="40.5" x14ac:dyDescent="0.25">
      <c r="A101" s="136"/>
      <c r="B101" s="120"/>
      <c r="C101" s="9" t="s">
        <v>406</v>
      </c>
      <c r="D101" s="120"/>
      <c r="E101" s="120"/>
      <c r="F101" s="120"/>
      <c r="G101" s="136"/>
      <c r="H101" s="136"/>
      <c r="I101" s="120"/>
      <c r="J101" s="7" t="s">
        <v>913</v>
      </c>
      <c r="K101" s="7" t="s">
        <v>913</v>
      </c>
      <c r="L101" s="7" t="s">
        <v>913</v>
      </c>
      <c r="M101" s="8">
        <f>(202500/7)*1.04</f>
        <v>30085.714285714286</v>
      </c>
      <c r="N101" s="11">
        <f>M101*1.04</f>
        <v>31289.142857142859</v>
      </c>
      <c r="O101" s="11">
        <f t="shared" ref="O101" si="4">N101*1.04</f>
        <v>32540.708571428575</v>
      </c>
      <c r="P101" s="8">
        <f t="shared" si="3"/>
        <v>93915.565714285724</v>
      </c>
      <c r="Q101" s="9" t="s">
        <v>1001</v>
      </c>
      <c r="R101" s="9" t="s">
        <v>1211</v>
      </c>
    </row>
    <row r="102" spans="1:18" ht="40.5" x14ac:dyDescent="0.25">
      <c r="A102" s="136"/>
      <c r="B102" s="120"/>
      <c r="C102" s="9" t="s">
        <v>407</v>
      </c>
      <c r="D102" s="120"/>
      <c r="E102" s="120"/>
      <c r="F102" s="120"/>
      <c r="G102" s="136"/>
      <c r="H102" s="136"/>
      <c r="I102" s="120"/>
      <c r="J102" s="7" t="s">
        <v>913</v>
      </c>
      <c r="K102" s="7" t="s">
        <v>913</v>
      </c>
      <c r="L102" s="7" t="s">
        <v>913</v>
      </c>
      <c r="M102" s="8">
        <f>(202500/6)*1.04</f>
        <v>35100</v>
      </c>
      <c r="N102" s="11">
        <f>M102*1.04</f>
        <v>36504</v>
      </c>
      <c r="O102" s="11">
        <f t="shared" ref="O102" si="5">N102*1.04</f>
        <v>37964.160000000003</v>
      </c>
      <c r="P102" s="8">
        <f t="shared" si="3"/>
        <v>109568.16</v>
      </c>
      <c r="Q102" s="9" t="s">
        <v>1002</v>
      </c>
      <c r="R102" s="9" t="s">
        <v>1211</v>
      </c>
    </row>
    <row r="103" spans="1:18" ht="40.5" x14ac:dyDescent="0.25">
      <c r="A103" s="136"/>
      <c r="B103" s="120"/>
      <c r="C103" s="9" t="s">
        <v>408</v>
      </c>
      <c r="D103" s="120"/>
      <c r="E103" s="120"/>
      <c r="F103" s="120"/>
      <c r="G103" s="136"/>
      <c r="H103" s="136"/>
      <c r="I103" s="120"/>
      <c r="J103" s="7" t="s">
        <v>913</v>
      </c>
      <c r="K103" s="7" t="s">
        <v>913</v>
      </c>
      <c r="L103" s="7" t="s">
        <v>913</v>
      </c>
      <c r="M103" s="8">
        <f>+(12000/2)*1.04</f>
        <v>6240</v>
      </c>
      <c r="N103" s="11">
        <f>M103*1.04</f>
        <v>6489.6</v>
      </c>
      <c r="O103" s="7" t="s">
        <v>913</v>
      </c>
      <c r="P103" s="8">
        <f t="shared" si="3"/>
        <v>12729.6</v>
      </c>
      <c r="Q103" s="9" t="s">
        <v>1003</v>
      </c>
      <c r="R103" s="9" t="s">
        <v>1211</v>
      </c>
    </row>
    <row r="104" spans="1:18" ht="67.5" x14ac:dyDescent="0.25">
      <c r="A104" s="136"/>
      <c r="B104" s="120"/>
      <c r="C104" s="9" t="s">
        <v>409</v>
      </c>
      <c r="D104" s="120"/>
      <c r="E104" s="120"/>
      <c r="F104" s="120"/>
      <c r="G104" s="136"/>
      <c r="H104" s="136"/>
      <c r="I104" s="120"/>
      <c r="J104" s="7" t="s">
        <v>913</v>
      </c>
      <c r="K104" s="7" t="s">
        <v>913</v>
      </c>
      <c r="L104" s="7" t="s">
        <v>913</v>
      </c>
      <c r="M104" s="7" t="s">
        <v>913</v>
      </c>
      <c r="N104" s="7" t="s">
        <v>913</v>
      </c>
      <c r="O104" s="7" t="s">
        <v>913</v>
      </c>
      <c r="P104" s="8">
        <f t="shared" si="3"/>
        <v>0</v>
      </c>
      <c r="Q104" s="9" t="s">
        <v>1004</v>
      </c>
      <c r="R104" s="9" t="s">
        <v>1004</v>
      </c>
    </row>
    <row r="105" spans="1:18" x14ac:dyDescent="0.25">
      <c r="A105" s="142" t="s">
        <v>413</v>
      </c>
      <c r="B105" s="143"/>
      <c r="C105" s="143"/>
      <c r="D105" s="143"/>
      <c r="E105" s="143"/>
      <c r="F105" s="143"/>
      <c r="G105" s="143"/>
      <c r="H105" s="143"/>
      <c r="I105" s="144"/>
      <c r="J105" s="60"/>
      <c r="K105" s="60"/>
      <c r="L105" s="60"/>
      <c r="M105" s="60"/>
      <c r="N105" s="60"/>
      <c r="O105" s="60"/>
      <c r="P105" s="82">
        <f>SUM(P77:P104)</f>
        <v>14027596.825714286</v>
      </c>
      <c r="Q105" s="60"/>
      <c r="R105" s="61"/>
    </row>
    <row r="106" spans="1:18" ht="14.25" x14ac:dyDescent="0.25">
      <c r="A106" s="169" t="s">
        <v>11</v>
      </c>
      <c r="B106" s="170"/>
      <c r="C106" s="170"/>
      <c r="D106" s="170"/>
      <c r="E106" s="170"/>
      <c r="F106" s="170"/>
      <c r="G106" s="170"/>
      <c r="H106" s="170"/>
      <c r="I106" s="171"/>
      <c r="J106" s="80"/>
      <c r="K106" s="80"/>
      <c r="L106" s="80"/>
      <c r="M106" s="80"/>
      <c r="N106" s="80"/>
      <c r="O106" s="80"/>
      <c r="P106" s="80"/>
      <c r="Q106" s="80"/>
      <c r="R106" s="81"/>
    </row>
    <row r="107" spans="1:18" ht="108" x14ac:dyDescent="0.25">
      <c r="A107" s="136" t="s">
        <v>160</v>
      </c>
      <c r="B107" s="120" t="s">
        <v>217</v>
      </c>
      <c r="C107" s="9" t="s">
        <v>213</v>
      </c>
      <c r="D107" s="120" t="s">
        <v>692</v>
      </c>
      <c r="E107" s="120" t="s">
        <v>218</v>
      </c>
      <c r="F107" s="120" t="s">
        <v>219</v>
      </c>
      <c r="G107" s="120" t="s">
        <v>220</v>
      </c>
      <c r="H107" s="136" t="s">
        <v>1271</v>
      </c>
      <c r="I107" s="136" t="s">
        <v>46</v>
      </c>
      <c r="J107" s="7" t="s">
        <v>913</v>
      </c>
      <c r="K107" s="7" t="s">
        <v>913</v>
      </c>
      <c r="L107" s="7" t="s">
        <v>913</v>
      </c>
      <c r="M107" s="8">
        <f>120000*1.04</f>
        <v>124800</v>
      </c>
      <c r="N107" s="7" t="s">
        <v>913</v>
      </c>
      <c r="O107" s="7" t="s">
        <v>913</v>
      </c>
      <c r="P107" s="8">
        <f t="shared" ref="P107:P126" si="6">SUM(J107:O107)</f>
        <v>124800</v>
      </c>
      <c r="Q107" s="9" t="s">
        <v>988</v>
      </c>
      <c r="R107" s="9" t="s">
        <v>1211</v>
      </c>
    </row>
    <row r="108" spans="1:18" ht="121.5" x14ac:dyDescent="0.25">
      <c r="A108" s="136"/>
      <c r="B108" s="120"/>
      <c r="C108" s="9" t="s">
        <v>214</v>
      </c>
      <c r="D108" s="120"/>
      <c r="E108" s="120"/>
      <c r="F108" s="120"/>
      <c r="G108" s="120"/>
      <c r="H108" s="136"/>
      <c r="I108" s="136"/>
      <c r="J108" s="7" t="s">
        <v>913</v>
      </c>
      <c r="K108" s="7" t="s">
        <v>913</v>
      </c>
      <c r="L108" s="7" t="s">
        <v>913</v>
      </c>
      <c r="M108" s="7" t="s">
        <v>913</v>
      </c>
      <c r="N108" s="7" t="s">
        <v>913</v>
      </c>
      <c r="O108" s="7" t="s">
        <v>913</v>
      </c>
      <c r="P108" s="8">
        <f t="shared" si="6"/>
        <v>0</v>
      </c>
      <c r="Q108" s="9" t="s">
        <v>1005</v>
      </c>
      <c r="R108" s="9" t="s">
        <v>1005</v>
      </c>
    </row>
    <row r="109" spans="1:18" ht="121.5" x14ac:dyDescent="0.25">
      <c r="A109" s="136"/>
      <c r="B109" s="120"/>
      <c r="C109" s="9" t="s">
        <v>415</v>
      </c>
      <c r="D109" s="120"/>
      <c r="E109" s="120"/>
      <c r="F109" s="120"/>
      <c r="G109" s="120"/>
      <c r="H109" s="136"/>
      <c r="I109" s="136"/>
      <c r="J109" s="7" t="s">
        <v>913</v>
      </c>
      <c r="K109" s="7" t="s">
        <v>913</v>
      </c>
      <c r="L109" s="7" t="s">
        <v>913</v>
      </c>
      <c r="M109" s="7" t="s">
        <v>913</v>
      </c>
      <c r="N109" s="7" t="s">
        <v>913</v>
      </c>
      <c r="O109" s="7" t="s">
        <v>913</v>
      </c>
      <c r="P109" s="8">
        <f t="shared" si="6"/>
        <v>0</v>
      </c>
      <c r="Q109" s="9" t="s">
        <v>1005</v>
      </c>
      <c r="R109" s="9" t="s">
        <v>1005</v>
      </c>
    </row>
    <row r="110" spans="1:18" ht="108" x14ac:dyDescent="0.25">
      <c r="A110" s="136"/>
      <c r="B110" s="120"/>
      <c r="C110" s="9" t="s">
        <v>215</v>
      </c>
      <c r="D110" s="120"/>
      <c r="E110" s="120"/>
      <c r="F110" s="120"/>
      <c r="G110" s="120"/>
      <c r="H110" s="136"/>
      <c r="I110" s="136"/>
      <c r="J110" s="7" t="s">
        <v>913</v>
      </c>
      <c r="K110" s="7" t="s">
        <v>913</v>
      </c>
      <c r="L110" s="7" t="s">
        <v>913</v>
      </c>
      <c r="M110" s="7" t="s">
        <v>913</v>
      </c>
      <c r="N110" s="7" t="s">
        <v>913</v>
      </c>
      <c r="O110" s="7" t="s">
        <v>913</v>
      </c>
      <c r="P110" s="8">
        <f t="shared" si="6"/>
        <v>0</v>
      </c>
      <c r="Q110" s="9" t="s">
        <v>914</v>
      </c>
      <c r="R110" s="9" t="s">
        <v>1212</v>
      </c>
    </row>
    <row r="111" spans="1:18" ht="81" x14ac:dyDescent="0.25">
      <c r="A111" s="136"/>
      <c r="B111" s="120"/>
      <c r="C111" s="9" t="s">
        <v>216</v>
      </c>
      <c r="D111" s="120"/>
      <c r="E111" s="120"/>
      <c r="F111" s="120"/>
      <c r="G111" s="120"/>
      <c r="H111" s="136"/>
      <c r="I111" s="136"/>
      <c r="J111" s="7" t="s">
        <v>913</v>
      </c>
      <c r="K111" s="7" t="s">
        <v>913</v>
      </c>
      <c r="L111" s="7" t="s">
        <v>913</v>
      </c>
      <c r="M111" s="7" t="s">
        <v>913</v>
      </c>
      <c r="N111" s="7" t="s">
        <v>913</v>
      </c>
      <c r="O111" s="7" t="s">
        <v>913</v>
      </c>
      <c r="P111" s="8">
        <f t="shared" si="6"/>
        <v>0</v>
      </c>
      <c r="Q111" s="9" t="s">
        <v>914</v>
      </c>
      <c r="R111" s="9" t="s">
        <v>1212</v>
      </c>
    </row>
    <row r="112" spans="1:18" ht="121.5" x14ac:dyDescent="0.25">
      <c r="A112" s="136" t="s">
        <v>161</v>
      </c>
      <c r="B112" s="120" t="s">
        <v>735</v>
      </c>
      <c r="C112" s="9" t="s">
        <v>221</v>
      </c>
      <c r="D112" s="120" t="s">
        <v>684</v>
      </c>
      <c r="E112" s="120" t="s">
        <v>224</v>
      </c>
      <c r="F112" s="120" t="s">
        <v>225</v>
      </c>
      <c r="G112" s="136">
        <v>0</v>
      </c>
      <c r="H112" s="120" t="s">
        <v>1270</v>
      </c>
      <c r="I112" s="136" t="s">
        <v>46</v>
      </c>
      <c r="J112" s="7" t="s">
        <v>913</v>
      </c>
      <c r="K112" s="7" t="s">
        <v>913</v>
      </c>
      <c r="L112" s="8" t="s">
        <v>913</v>
      </c>
      <c r="M112" s="11" t="s">
        <v>913</v>
      </c>
      <c r="N112" s="11" t="s">
        <v>913</v>
      </c>
      <c r="O112" s="11" t="s">
        <v>913</v>
      </c>
      <c r="P112" s="8">
        <f t="shared" si="6"/>
        <v>0</v>
      </c>
      <c r="Q112" s="9" t="s">
        <v>914</v>
      </c>
      <c r="R112" s="9" t="s">
        <v>1212</v>
      </c>
    </row>
    <row r="113" spans="1:18" ht="94.5" x14ac:dyDescent="0.25">
      <c r="A113" s="136"/>
      <c r="B113" s="120"/>
      <c r="C113" s="9" t="s">
        <v>222</v>
      </c>
      <c r="D113" s="120"/>
      <c r="E113" s="120"/>
      <c r="F113" s="120"/>
      <c r="G113" s="136"/>
      <c r="H113" s="136"/>
      <c r="I113" s="136"/>
      <c r="J113" s="7" t="s">
        <v>913</v>
      </c>
      <c r="K113" s="8">
        <f>10000*1.04</f>
        <v>10400</v>
      </c>
      <c r="L113" s="7" t="s">
        <v>913</v>
      </c>
      <c r="M113" s="7" t="s">
        <v>913</v>
      </c>
      <c r="N113" s="7" t="s">
        <v>913</v>
      </c>
      <c r="O113" s="7" t="s">
        <v>913</v>
      </c>
      <c r="P113" s="8">
        <f t="shared" si="6"/>
        <v>10400</v>
      </c>
      <c r="Q113" s="9" t="s">
        <v>1006</v>
      </c>
      <c r="R113" s="9" t="s">
        <v>1210</v>
      </c>
    </row>
    <row r="114" spans="1:18" ht="54" x14ac:dyDescent="0.25">
      <c r="A114" s="136"/>
      <c r="B114" s="120"/>
      <c r="C114" s="9" t="s">
        <v>1216</v>
      </c>
      <c r="D114" s="120"/>
      <c r="E114" s="120"/>
      <c r="F114" s="120"/>
      <c r="G114" s="136"/>
      <c r="H114" s="136"/>
      <c r="I114" s="136"/>
      <c r="J114" s="7" t="s">
        <v>913</v>
      </c>
      <c r="K114" s="7" t="s">
        <v>913</v>
      </c>
      <c r="L114" s="10">
        <f>+(5*2000)*1.04</f>
        <v>10400</v>
      </c>
      <c r="M114" s="15">
        <f>+L114+1.04</f>
        <v>10401.040000000001</v>
      </c>
      <c r="N114" s="7" t="s">
        <v>913</v>
      </c>
      <c r="O114" s="7" t="s">
        <v>913</v>
      </c>
      <c r="P114" s="8">
        <f t="shared" si="6"/>
        <v>20801.04</v>
      </c>
      <c r="Q114" s="9" t="s">
        <v>1217</v>
      </c>
      <c r="R114" s="9" t="s">
        <v>1211</v>
      </c>
    </row>
    <row r="115" spans="1:18" ht="67.5" x14ac:dyDescent="0.25">
      <c r="A115" s="136"/>
      <c r="B115" s="120"/>
      <c r="C115" s="9" t="s">
        <v>223</v>
      </c>
      <c r="D115" s="120"/>
      <c r="E115" s="120"/>
      <c r="F115" s="120"/>
      <c r="G115" s="136"/>
      <c r="H115" s="136"/>
      <c r="I115" s="136"/>
      <c r="J115" s="7" t="s">
        <v>913</v>
      </c>
      <c r="K115" s="7" t="s">
        <v>913</v>
      </c>
      <c r="L115" s="8" t="s">
        <v>913</v>
      </c>
      <c r="M115" s="11" t="s">
        <v>913</v>
      </c>
      <c r="N115" s="11" t="s">
        <v>913</v>
      </c>
      <c r="O115" s="11" t="s">
        <v>913</v>
      </c>
      <c r="P115" s="8">
        <f t="shared" si="6"/>
        <v>0</v>
      </c>
      <c r="Q115" s="9" t="s">
        <v>1007</v>
      </c>
      <c r="R115" s="9" t="s">
        <v>1007</v>
      </c>
    </row>
    <row r="116" spans="1:18" ht="94.5" x14ac:dyDescent="0.25">
      <c r="A116" s="136" t="s">
        <v>162</v>
      </c>
      <c r="B116" s="120" t="s">
        <v>226</v>
      </c>
      <c r="C116" s="9" t="s">
        <v>227</v>
      </c>
      <c r="D116" s="120" t="s">
        <v>685</v>
      </c>
      <c r="E116" s="120" t="s">
        <v>232</v>
      </c>
      <c r="F116" s="120" t="s">
        <v>658</v>
      </c>
      <c r="G116" s="120">
        <v>2</v>
      </c>
      <c r="H116" s="120" t="s">
        <v>1269</v>
      </c>
      <c r="I116" s="136" t="s">
        <v>46</v>
      </c>
      <c r="J116" s="7" t="s">
        <v>913</v>
      </c>
      <c r="K116" s="7" t="s">
        <v>913</v>
      </c>
      <c r="L116" s="10">
        <f>40000*1.04</f>
        <v>41600</v>
      </c>
      <c r="M116" s="7" t="s">
        <v>913</v>
      </c>
      <c r="N116" s="7" t="s">
        <v>913</v>
      </c>
      <c r="O116" s="7" t="s">
        <v>913</v>
      </c>
      <c r="P116" s="8">
        <f t="shared" si="6"/>
        <v>41600</v>
      </c>
      <c r="Q116" s="9" t="s">
        <v>1006</v>
      </c>
      <c r="R116" s="9" t="s">
        <v>1211</v>
      </c>
    </row>
    <row r="117" spans="1:18" ht="54" x14ac:dyDescent="0.25">
      <c r="A117" s="136"/>
      <c r="B117" s="120"/>
      <c r="C117" s="9" t="s">
        <v>228</v>
      </c>
      <c r="D117" s="120"/>
      <c r="E117" s="120"/>
      <c r="F117" s="120"/>
      <c r="G117" s="120"/>
      <c r="H117" s="136"/>
      <c r="I117" s="136"/>
      <c r="J117" s="7" t="s">
        <v>913</v>
      </c>
      <c r="K117" s="7" t="s">
        <v>913</v>
      </c>
      <c r="L117" s="8" t="s">
        <v>913</v>
      </c>
      <c r="M117" s="11" t="s">
        <v>913</v>
      </c>
      <c r="N117" s="11" t="s">
        <v>913</v>
      </c>
      <c r="O117" s="11" t="s">
        <v>913</v>
      </c>
      <c r="P117" s="8">
        <f t="shared" si="6"/>
        <v>0</v>
      </c>
      <c r="Q117" s="9" t="s">
        <v>1008</v>
      </c>
      <c r="R117" s="9" t="s">
        <v>1212</v>
      </c>
    </row>
    <row r="118" spans="1:18" ht="81" x14ac:dyDescent="0.25">
      <c r="A118" s="136"/>
      <c r="B118" s="120"/>
      <c r="C118" s="9" t="s">
        <v>229</v>
      </c>
      <c r="D118" s="120"/>
      <c r="E118" s="120"/>
      <c r="F118" s="120"/>
      <c r="G118" s="120"/>
      <c r="H118" s="136"/>
      <c r="I118" s="136"/>
      <c r="J118" s="7" t="s">
        <v>913</v>
      </c>
      <c r="K118" s="7" t="s">
        <v>913</v>
      </c>
      <c r="L118" s="7" t="s">
        <v>913</v>
      </c>
      <c r="M118" s="8">
        <f>10000*1.04</f>
        <v>10400</v>
      </c>
      <c r="N118" s="11" t="s">
        <v>913</v>
      </c>
      <c r="O118" s="11" t="s">
        <v>913</v>
      </c>
      <c r="P118" s="8">
        <f t="shared" si="6"/>
        <v>10400</v>
      </c>
      <c r="Q118" s="9" t="s">
        <v>1006</v>
      </c>
      <c r="R118" s="9" t="s">
        <v>1211</v>
      </c>
    </row>
    <row r="119" spans="1:18" ht="67.5" x14ac:dyDescent="0.25">
      <c r="A119" s="136"/>
      <c r="B119" s="120"/>
      <c r="C119" s="9" t="s">
        <v>230</v>
      </c>
      <c r="D119" s="120"/>
      <c r="E119" s="120"/>
      <c r="F119" s="120"/>
      <c r="G119" s="120"/>
      <c r="H119" s="136"/>
      <c r="I119" s="136"/>
      <c r="J119" s="7" t="s">
        <v>913</v>
      </c>
      <c r="K119" s="7" t="s">
        <v>913</v>
      </c>
      <c r="L119" s="7" t="s">
        <v>913</v>
      </c>
      <c r="M119" s="8">
        <f>30000*1.04</f>
        <v>31200</v>
      </c>
      <c r="N119" s="7" t="s">
        <v>913</v>
      </c>
      <c r="O119" s="7" t="s">
        <v>913</v>
      </c>
      <c r="P119" s="8">
        <f t="shared" si="6"/>
        <v>31200</v>
      </c>
      <c r="Q119" s="9" t="s">
        <v>1006</v>
      </c>
      <c r="R119" s="9" t="s">
        <v>1211</v>
      </c>
    </row>
    <row r="120" spans="1:18" ht="94.5" x14ac:dyDescent="0.25">
      <c r="A120" s="136"/>
      <c r="B120" s="120"/>
      <c r="C120" s="9" t="s">
        <v>231</v>
      </c>
      <c r="D120" s="120"/>
      <c r="E120" s="120"/>
      <c r="F120" s="120"/>
      <c r="G120" s="120"/>
      <c r="H120" s="136"/>
      <c r="I120" s="136"/>
      <c r="J120" s="7" t="s">
        <v>913</v>
      </c>
      <c r="K120" s="7" t="s">
        <v>913</v>
      </c>
      <c r="L120" s="7" t="s">
        <v>913</v>
      </c>
      <c r="M120" s="7" t="s">
        <v>913</v>
      </c>
      <c r="N120" s="7" t="s">
        <v>913</v>
      </c>
      <c r="O120" s="7" t="s">
        <v>913</v>
      </c>
      <c r="P120" s="8">
        <f t="shared" si="6"/>
        <v>0</v>
      </c>
      <c r="Q120" s="9" t="s">
        <v>1009</v>
      </c>
      <c r="R120" s="9" t="s">
        <v>1212</v>
      </c>
    </row>
    <row r="121" spans="1:18" ht="81" x14ac:dyDescent="0.25">
      <c r="A121" s="136" t="s">
        <v>673</v>
      </c>
      <c r="B121" s="120" t="s">
        <v>583</v>
      </c>
      <c r="C121" s="9" t="s">
        <v>584</v>
      </c>
      <c r="D121" s="120" t="s">
        <v>693</v>
      </c>
      <c r="E121" s="120" t="s">
        <v>590</v>
      </c>
      <c r="F121" s="120" t="s">
        <v>624</v>
      </c>
      <c r="G121" s="120">
        <v>0</v>
      </c>
      <c r="H121" s="120" t="s">
        <v>1263</v>
      </c>
      <c r="I121" s="120" t="s">
        <v>46</v>
      </c>
      <c r="J121" s="7" t="s">
        <v>913</v>
      </c>
      <c r="K121" s="7" t="s">
        <v>913</v>
      </c>
      <c r="L121" s="10">
        <f>40000*1.04</f>
        <v>41600</v>
      </c>
      <c r="M121" s="7" t="s">
        <v>913</v>
      </c>
      <c r="N121" s="7" t="s">
        <v>913</v>
      </c>
      <c r="O121" s="7" t="s">
        <v>913</v>
      </c>
      <c r="P121" s="8">
        <f t="shared" si="6"/>
        <v>41600</v>
      </c>
      <c r="Q121" s="9" t="s">
        <v>1006</v>
      </c>
      <c r="R121" s="9" t="s">
        <v>1211</v>
      </c>
    </row>
    <row r="122" spans="1:18" ht="54" x14ac:dyDescent="0.25">
      <c r="A122" s="136"/>
      <c r="B122" s="120"/>
      <c r="C122" s="9" t="s">
        <v>585</v>
      </c>
      <c r="D122" s="120"/>
      <c r="E122" s="120"/>
      <c r="F122" s="120"/>
      <c r="G122" s="120"/>
      <c r="H122" s="120"/>
      <c r="I122" s="120"/>
      <c r="J122" s="7" t="s">
        <v>913</v>
      </c>
      <c r="K122" s="7" t="s">
        <v>913</v>
      </c>
      <c r="L122" s="7" t="s">
        <v>913</v>
      </c>
      <c r="M122" s="7" t="s">
        <v>913</v>
      </c>
      <c r="N122" s="7" t="s">
        <v>913</v>
      </c>
      <c r="O122" s="7" t="s">
        <v>913</v>
      </c>
      <c r="P122" s="8">
        <f t="shared" si="6"/>
        <v>0</v>
      </c>
      <c r="Q122" s="9" t="s">
        <v>1082</v>
      </c>
      <c r="R122" s="9" t="s">
        <v>1082</v>
      </c>
    </row>
    <row r="123" spans="1:18" ht="108" x14ac:dyDescent="0.25">
      <c r="A123" s="136"/>
      <c r="B123" s="120"/>
      <c r="C123" s="9" t="s">
        <v>586</v>
      </c>
      <c r="D123" s="120"/>
      <c r="E123" s="120"/>
      <c r="F123" s="120"/>
      <c r="G123" s="120"/>
      <c r="H123" s="120"/>
      <c r="I123" s="120"/>
      <c r="J123" s="7" t="s">
        <v>913</v>
      </c>
      <c r="K123" s="7" t="s">
        <v>913</v>
      </c>
      <c r="L123" s="7" t="s">
        <v>913</v>
      </c>
      <c r="M123" s="7" t="s">
        <v>913</v>
      </c>
      <c r="N123" s="7" t="s">
        <v>913</v>
      </c>
      <c r="O123" s="7" t="s">
        <v>913</v>
      </c>
      <c r="P123" s="8">
        <f t="shared" si="6"/>
        <v>0</v>
      </c>
      <c r="Q123" s="9" t="s">
        <v>1082</v>
      </c>
      <c r="R123" s="9" t="s">
        <v>1082</v>
      </c>
    </row>
    <row r="124" spans="1:18" ht="81" x14ac:dyDescent="0.25">
      <c r="A124" s="136"/>
      <c r="B124" s="120"/>
      <c r="C124" s="9" t="s">
        <v>587</v>
      </c>
      <c r="D124" s="120"/>
      <c r="E124" s="120"/>
      <c r="F124" s="120"/>
      <c r="G124" s="120"/>
      <c r="H124" s="120"/>
      <c r="I124" s="120"/>
      <c r="J124" s="7" t="s">
        <v>913</v>
      </c>
      <c r="K124" s="7" t="s">
        <v>913</v>
      </c>
      <c r="L124" s="7" t="s">
        <v>913</v>
      </c>
      <c r="M124" s="8">
        <f>40000*1.04</f>
        <v>41600</v>
      </c>
      <c r="N124" s="7" t="s">
        <v>913</v>
      </c>
      <c r="O124" s="7" t="s">
        <v>913</v>
      </c>
      <c r="P124" s="8">
        <f t="shared" si="6"/>
        <v>41600</v>
      </c>
      <c r="Q124" s="9" t="s">
        <v>1006</v>
      </c>
      <c r="R124" s="9" t="s">
        <v>1211</v>
      </c>
    </row>
    <row r="125" spans="1:18" ht="54" x14ac:dyDescent="0.25">
      <c r="A125" s="136"/>
      <c r="B125" s="120"/>
      <c r="C125" s="9" t="s">
        <v>588</v>
      </c>
      <c r="D125" s="120"/>
      <c r="E125" s="120"/>
      <c r="F125" s="120"/>
      <c r="G125" s="120"/>
      <c r="H125" s="120"/>
      <c r="I125" s="120"/>
      <c r="J125" s="7" t="s">
        <v>913</v>
      </c>
      <c r="K125" s="7" t="s">
        <v>913</v>
      </c>
      <c r="L125" s="7" t="s">
        <v>913</v>
      </c>
      <c r="M125" s="7" t="s">
        <v>913</v>
      </c>
      <c r="N125" s="7" t="s">
        <v>913</v>
      </c>
      <c r="O125" s="7" t="s">
        <v>913</v>
      </c>
      <c r="P125" s="8">
        <f t="shared" si="6"/>
        <v>0</v>
      </c>
      <c r="Q125" s="9" t="s">
        <v>1083</v>
      </c>
      <c r="R125" s="9" t="s">
        <v>1083</v>
      </c>
    </row>
    <row r="126" spans="1:18" ht="67.5" x14ac:dyDescent="0.25">
      <c r="A126" s="136"/>
      <c r="B126" s="120"/>
      <c r="C126" s="9" t="s">
        <v>589</v>
      </c>
      <c r="D126" s="120"/>
      <c r="E126" s="120"/>
      <c r="F126" s="120"/>
      <c r="G126" s="120"/>
      <c r="H126" s="120"/>
      <c r="I126" s="120"/>
      <c r="J126" s="7" t="s">
        <v>913</v>
      </c>
      <c r="K126" s="7" t="s">
        <v>913</v>
      </c>
      <c r="L126" s="7" t="s">
        <v>913</v>
      </c>
      <c r="M126" s="7" t="s">
        <v>913</v>
      </c>
      <c r="N126" s="7" t="s">
        <v>913</v>
      </c>
      <c r="O126" s="7" t="s">
        <v>913</v>
      </c>
      <c r="P126" s="8">
        <f t="shared" si="6"/>
        <v>0</v>
      </c>
      <c r="Q126" s="9" t="s">
        <v>1010</v>
      </c>
      <c r="R126" s="9" t="s">
        <v>1010</v>
      </c>
    </row>
    <row r="127" spans="1:18" x14ac:dyDescent="0.25">
      <c r="A127" s="136" t="s">
        <v>163</v>
      </c>
      <c r="B127" s="120" t="s">
        <v>565</v>
      </c>
      <c r="C127" s="120" t="s">
        <v>566</v>
      </c>
      <c r="D127" s="120" t="s">
        <v>568</v>
      </c>
      <c r="E127" s="120" t="s">
        <v>569</v>
      </c>
      <c r="F127" s="120" t="s">
        <v>570</v>
      </c>
      <c r="G127" s="120">
        <v>0</v>
      </c>
      <c r="H127" s="120" t="s">
        <v>1268</v>
      </c>
      <c r="I127" s="120" t="s">
        <v>46</v>
      </c>
      <c r="J127" s="136" t="s">
        <v>913</v>
      </c>
      <c r="K127" s="136" t="s">
        <v>913</v>
      </c>
      <c r="L127" s="215" t="s">
        <v>913</v>
      </c>
      <c r="M127" s="215" t="s">
        <v>913</v>
      </c>
      <c r="N127" s="215" t="s">
        <v>913</v>
      </c>
      <c r="O127" s="215" t="s">
        <v>913</v>
      </c>
      <c r="P127" s="129">
        <f>SUM(J127:O129)</f>
        <v>0</v>
      </c>
      <c r="Q127" s="120" t="s">
        <v>914</v>
      </c>
      <c r="R127" s="120" t="s">
        <v>1212</v>
      </c>
    </row>
    <row r="128" spans="1:18" x14ac:dyDescent="0.25">
      <c r="A128" s="136"/>
      <c r="B128" s="120"/>
      <c r="C128" s="120"/>
      <c r="D128" s="120"/>
      <c r="E128" s="120"/>
      <c r="F128" s="120"/>
      <c r="G128" s="120"/>
      <c r="H128" s="120"/>
      <c r="I128" s="120"/>
      <c r="J128" s="136"/>
      <c r="K128" s="136"/>
      <c r="L128" s="215"/>
      <c r="M128" s="215"/>
      <c r="N128" s="215"/>
      <c r="O128" s="215"/>
      <c r="P128" s="135"/>
      <c r="Q128" s="120"/>
      <c r="R128" s="120"/>
    </row>
    <row r="129" spans="1:18" ht="68.45" customHeight="1" x14ac:dyDescent="0.25">
      <c r="A129" s="136"/>
      <c r="B129" s="120"/>
      <c r="C129" s="120"/>
      <c r="D129" s="120"/>
      <c r="E129" s="120"/>
      <c r="F129" s="120"/>
      <c r="G129" s="120"/>
      <c r="H129" s="120"/>
      <c r="I129" s="120"/>
      <c r="J129" s="136"/>
      <c r="K129" s="136"/>
      <c r="L129" s="215"/>
      <c r="M129" s="215"/>
      <c r="N129" s="215"/>
      <c r="O129" s="215"/>
      <c r="P129" s="130"/>
      <c r="Q129" s="120"/>
      <c r="R129" s="120"/>
    </row>
    <row r="130" spans="1:18" x14ac:dyDescent="0.25">
      <c r="A130" s="136"/>
      <c r="B130" s="120"/>
      <c r="C130" s="120" t="s">
        <v>567</v>
      </c>
      <c r="D130" s="120"/>
      <c r="E130" s="120"/>
      <c r="F130" s="120"/>
      <c r="G130" s="120"/>
      <c r="H130" s="120"/>
      <c r="I130" s="120"/>
      <c r="J130" s="136" t="s">
        <v>913</v>
      </c>
      <c r="K130" s="216" t="s">
        <v>913</v>
      </c>
      <c r="L130" s="136" t="s">
        <v>913</v>
      </c>
      <c r="M130" s="136" t="s">
        <v>913</v>
      </c>
      <c r="N130" s="136" t="s">
        <v>913</v>
      </c>
      <c r="O130" s="136" t="s">
        <v>913</v>
      </c>
      <c r="P130" s="212">
        <v>0</v>
      </c>
      <c r="Q130" s="120" t="s">
        <v>914</v>
      </c>
      <c r="R130" s="120" t="s">
        <v>1212</v>
      </c>
    </row>
    <row r="131" spans="1:18" ht="126.6" customHeight="1" x14ac:dyDescent="0.25">
      <c r="A131" s="136"/>
      <c r="B131" s="120"/>
      <c r="C131" s="120"/>
      <c r="D131" s="120"/>
      <c r="E131" s="120"/>
      <c r="F131" s="120"/>
      <c r="G131" s="120"/>
      <c r="H131" s="120"/>
      <c r="I131" s="120"/>
      <c r="J131" s="136"/>
      <c r="K131" s="216"/>
      <c r="L131" s="136"/>
      <c r="M131" s="136"/>
      <c r="N131" s="136"/>
      <c r="O131" s="136"/>
      <c r="P131" s="212"/>
      <c r="Q131" s="120"/>
      <c r="R131" s="120"/>
    </row>
    <row r="132" spans="1:18" x14ac:dyDescent="0.25">
      <c r="A132" s="142" t="s">
        <v>303</v>
      </c>
      <c r="B132" s="143"/>
      <c r="C132" s="143"/>
      <c r="D132" s="143"/>
      <c r="E132" s="143"/>
      <c r="F132" s="143"/>
      <c r="G132" s="143"/>
      <c r="H132" s="143"/>
      <c r="I132" s="144"/>
      <c r="J132" s="77"/>
      <c r="K132" s="77"/>
      <c r="L132" s="77"/>
      <c r="M132" s="77"/>
      <c r="N132" s="77"/>
      <c r="O132" s="77"/>
      <c r="P132" s="78">
        <f>SUM(P107:P131)</f>
        <v>322401.04000000004</v>
      </c>
      <c r="Q132" s="77"/>
      <c r="R132" s="79"/>
    </row>
    <row r="133" spans="1:18" ht="14.25" x14ac:dyDescent="0.25">
      <c r="A133" s="169" t="s">
        <v>12</v>
      </c>
      <c r="B133" s="170"/>
      <c r="C133" s="170"/>
      <c r="D133" s="170"/>
      <c r="E133" s="170"/>
      <c r="F133" s="170"/>
      <c r="G133" s="170"/>
      <c r="H133" s="170"/>
      <c r="I133" s="171"/>
      <c r="J133" s="80"/>
      <c r="K133" s="80"/>
      <c r="L133" s="80"/>
      <c r="M133" s="80"/>
      <c r="N133" s="80"/>
      <c r="O133" s="80"/>
      <c r="P133" s="80"/>
      <c r="Q133" s="80"/>
      <c r="R133" s="81"/>
    </row>
    <row r="134" spans="1:18" ht="40.5" x14ac:dyDescent="0.25">
      <c r="A134" s="136" t="s">
        <v>164</v>
      </c>
      <c r="B134" s="164" t="s">
        <v>416</v>
      </c>
      <c r="C134" s="9" t="s">
        <v>233</v>
      </c>
      <c r="D134" s="120" t="s">
        <v>703</v>
      </c>
      <c r="E134" s="120" t="s">
        <v>237</v>
      </c>
      <c r="F134" s="120" t="s">
        <v>418</v>
      </c>
      <c r="G134" s="136">
        <v>0</v>
      </c>
      <c r="H134" s="120" t="s">
        <v>1267</v>
      </c>
      <c r="I134" s="136" t="s">
        <v>46</v>
      </c>
      <c r="J134" s="7" t="s">
        <v>913</v>
      </c>
      <c r="K134" s="7" t="s">
        <v>913</v>
      </c>
      <c r="L134" s="7" t="s">
        <v>913</v>
      </c>
      <c r="M134" s="7" t="s">
        <v>913</v>
      </c>
      <c r="N134" s="7" t="s">
        <v>913</v>
      </c>
      <c r="O134" s="7" t="s">
        <v>913</v>
      </c>
      <c r="P134" s="8">
        <f t="shared" ref="P134:P159" si="7">SUM(J134:O134)</f>
        <v>0</v>
      </c>
      <c r="Q134" s="9" t="s">
        <v>914</v>
      </c>
      <c r="R134" s="9" t="s">
        <v>1212</v>
      </c>
    </row>
    <row r="135" spans="1:18" ht="81" x14ac:dyDescent="0.25">
      <c r="A135" s="136"/>
      <c r="B135" s="164"/>
      <c r="C135" s="9" t="s">
        <v>234</v>
      </c>
      <c r="D135" s="120"/>
      <c r="E135" s="120"/>
      <c r="F135" s="120"/>
      <c r="G135" s="136"/>
      <c r="H135" s="136"/>
      <c r="I135" s="136"/>
      <c r="J135" s="7" t="s">
        <v>913</v>
      </c>
      <c r="K135" s="7" t="s">
        <v>913</v>
      </c>
      <c r="L135" s="7" t="s">
        <v>913</v>
      </c>
      <c r="M135" s="7" t="s">
        <v>913</v>
      </c>
      <c r="N135" s="7" t="s">
        <v>913</v>
      </c>
      <c r="O135" s="7" t="s">
        <v>913</v>
      </c>
      <c r="P135" s="8">
        <f t="shared" si="7"/>
        <v>0</v>
      </c>
      <c r="Q135" s="9" t="s">
        <v>914</v>
      </c>
      <c r="R135" s="9" t="s">
        <v>1212</v>
      </c>
    </row>
    <row r="136" spans="1:18" ht="94.5" x14ac:dyDescent="0.25">
      <c r="A136" s="136"/>
      <c r="B136" s="164"/>
      <c r="C136" s="9" t="s">
        <v>417</v>
      </c>
      <c r="D136" s="120"/>
      <c r="E136" s="120"/>
      <c r="F136" s="120"/>
      <c r="G136" s="136"/>
      <c r="H136" s="136"/>
      <c r="I136" s="136"/>
      <c r="J136" s="7" t="s">
        <v>913</v>
      </c>
      <c r="K136" s="7" t="s">
        <v>913</v>
      </c>
      <c r="L136" s="7" t="s">
        <v>913</v>
      </c>
      <c r="M136" s="7" t="s">
        <v>913</v>
      </c>
      <c r="N136" s="7" t="s">
        <v>913</v>
      </c>
      <c r="O136" s="7" t="s">
        <v>913</v>
      </c>
      <c r="P136" s="8">
        <f t="shared" si="7"/>
        <v>0</v>
      </c>
      <c r="Q136" s="9" t="s">
        <v>914</v>
      </c>
      <c r="R136" s="9" t="s">
        <v>1212</v>
      </c>
    </row>
    <row r="137" spans="1:18" ht="81" x14ac:dyDescent="0.25">
      <c r="A137" s="136"/>
      <c r="B137" s="164"/>
      <c r="C137" s="9" t="s">
        <v>235</v>
      </c>
      <c r="D137" s="120"/>
      <c r="E137" s="120"/>
      <c r="F137" s="120"/>
      <c r="G137" s="136"/>
      <c r="H137" s="136"/>
      <c r="I137" s="136"/>
      <c r="J137" s="7" t="s">
        <v>913</v>
      </c>
      <c r="K137" s="7" t="s">
        <v>913</v>
      </c>
      <c r="L137" s="7" t="s">
        <v>913</v>
      </c>
      <c r="M137" s="7" t="s">
        <v>913</v>
      </c>
      <c r="N137" s="7" t="s">
        <v>913</v>
      </c>
      <c r="O137" s="7" t="s">
        <v>913</v>
      </c>
      <c r="P137" s="8">
        <f t="shared" si="7"/>
        <v>0</v>
      </c>
      <c r="Q137" s="9" t="s">
        <v>914</v>
      </c>
      <c r="R137" s="9" t="s">
        <v>1212</v>
      </c>
    </row>
    <row r="138" spans="1:18" ht="67.5" x14ac:dyDescent="0.25">
      <c r="A138" s="136"/>
      <c r="B138" s="164"/>
      <c r="C138" s="9" t="s">
        <v>236</v>
      </c>
      <c r="D138" s="120"/>
      <c r="E138" s="120"/>
      <c r="F138" s="120"/>
      <c r="G138" s="136"/>
      <c r="H138" s="136"/>
      <c r="I138" s="136"/>
      <c r="J138" s="7" t="s">
        <v>913</v>
      </c>
      <c r="K138" s="7" t="s">
        <v>913</v>
      </c>
      <c r="L138" s="7" t="s">
        <v>913</v>
      </c>
      <c r="M138" s="7" t="s">
        <v>913</v>
      </c>
      <c r="N138" s="7" t="s">
        <v>913</v>
      </c>
      <c r="O138" s="7" t="s">
        <v>913</v>
      </c>
      <c r="P138" s="8">
        <f t="shared" si="7"/>
        <v>0</v>
      </c>
      <c r="Q138" s="9" t="s">
        <v>914</v>
      </c>
      <c r="R138" s="9" t="s">
        <v>1212</v>
      </c>
    </row>
    <row r="139" spans="1:18" ht="121.5" x14ac:dyDescent="0.25">
      <c r="A139" s="136" t="s">
        <v>165</v>
      </c>
      <c r="B139" s="164" t="s">
        <v>603</v>
      </c>
      <c r="C139" s="9" t="s">
        <v>489</v>
      </c>
      <c r="D139" s="120" t="s">
        <v>541</v>
      </c>
      <c r="E139" s="120" t="s">
        <v>490</v>
      </c>
      <c r="F139" s="120" t="s">
        <v>491</v>
      </c>
      <c r="G139" s="120">
        <v>0</v>
      </c>
      <c r="H139" s="120" t="s">
        <v>1246</v>
      </c>
      <c r="I139" s="120" t="s">
        <v>492</v>
      </c>
      <c r="J139" s="7" t="s">
        <v>913</v>
      </c>
      <c r="K139" s="7" t="s">
        <v>913</v>
      </c>
      <c r="L139" s="7" t="s">
        <v>913</v>
      </c>
      <c r="M139" s="7" t="s">
        <v>913</v>
      </c>
      <c r="N139" s="7" t="s">
        <v>913</v>
      </c>
      <c r="O139" s="7" t="s">
        <v>913</v>
      </c>
      <c r="P139" s="8">
        <f t="shared" si="7"/>
        <v>0</v>
      </c>
      <c r="Q139" s="9" t="s">
        <v>914</v>
      </c>
      <c r="R139" s="9" t="s">
        <v>1212</v>
      </c>
    </row>
    <row r="140" spans="1:18" ht="162" x14ac:dyDescent="0.25">
      <c r="A140" s="136"/>
      <c r="B140" s="164"/>
      <c r="C140" s="9" t="s">
        <v>542</v>
      </c>
      <c r="D140" s="120"/>
      <c r="E140" s="120"/>
      <c r="F140" s="120"/>
      <c r="G140" s="120"/>
      <c r="H140" s="120"/>
      <c r="I140" s="120"/>
      <c r="J140" s="7" t="s">
        <v>913</v>
      </c>
      <c r="K140" s="7" t="s">
        <v>913</v>
      </c>
      <c r="L140" s="7" t="s">
        <v>913</v>
      </c>
      <c r="M140" s="7" t="s">
        <v>913</v>
      </c>
      <c r="N140" s="7" t="s">
        <v>913</v>
      </c>
      <c r="O140" s="7" t="s">
        <v>913</v>
      </c>
      <c r="P140" s="8">
        <f t="shared" si="7"/>
        <v>0</v>
      </c>
      <c r="Q140" s="9" t="s">
        <v>914</v>
      </c>
      <c r="R140" s="9" t="s">
        <v>1212</v>
      </c>
    </row>
    <row r="141" spans="1:18" ht="40.5" x14ac:dyDescent="0.25">
      <c r="A141" s="136"/>
      <c r="B141" s="164"/>
      <c r="C141" s="9" t="s">
        <v>493</v>
      </c>
      <c r="D141" s="120"/>
      <c r="E141" s="120"/>
      <c r="F141" s="120"/>
      <c r="G141" s="120"/>
      <c r="H141" s="120"/>
      <c r="I141" s="120"/>
      <c r="J141" s="7" t="s">
        <v>913</v>
      </c>
      <c r="K141" s="7" t="s">
        <v>913</v>
      </c>
      <c r="L141" s="7" t="s">
        <v>913</v>
      </c>
      <c r="M141" s="7" t="s">
        <v>913</v>
      </c>
      <c r="N141" s="7" t="s">
        <v>913</v>
      </c>
      <c r="O141" s="7" t="s">
        <v>913</v>
      </c>
      <c r="P141" s="8">
        <f t="shared" si="7"/>
        <v>0</v>
      </c>
      <c r="Q141" s="9" t="s">
        <v>914</v>
      </c>
      <c r="R141" s="9" t="s">
        <v>1212</v>
      </c>
    </row>
    <row r="142" spans="1:18" ht="67.5" x14ac:dyDescent="0.25">
      <c r="A142" s="136"/>
      <c r="B142" s="164"/>
      <c r="C142" s="9" t="s">
        <v>494</v>
      </c>
      <c r="D142" s="120"/>
      <c r="E142" s="120"/>
      <c r="F142" s="120"/>
      <c r="G142" s="120"/>
      <c r="H142" s="120"/>
      <c r="I142" s="120"/>
      <c r="J142" s="7" t="s">
        <v>913</v>
      </c>
      <c r="K142" s="7" t="s">
        <v>913</v>
      </c>
      <c r="L142" s="7" t="s">
        <v>913</v>
      </c>
      <c r="M142" s="7" t="s">
        <v>913</v>
      </c>
      <c r="N142" s="7" t="s">
        <v>913</v>
      </c>
      <c r="O142" s="7" t="s">
        <v>913</v>
      </c>
      <c r="P142" s="8">
        <f t="shared" si="7"/>
        <v>0</v>
      </c>
      <c r="Q142" s="9" t="s">
        <v>914</v>
      </c>
      <c r="R142" s="9" t="s">
        <v>1212</v>
      </c>
    </row>
    <row r="143" spans="1:18" ht="94.5" x14ac:dyDescent="0.25">
      <c r="A143" s="136"/>
      <c r="B143" s="164"/>
      <c r="C143" s="9" t="s">
        <v>495</v>
      </c>
      <c r="D143" s="120"/>
      <c r="E143" s="120"/>
      <c r="F143" s="120"/>
      <c r="G143" s="120"/>
      <c r="H143" s="120"/>
      <c r="I143" s="120"/>
      <c r="J143" s="7" t="s">
        <v>913</v>
      </c>
      <c r="K143" s="7" t="s">
        <v>913</v>
      </c>
      <c r="L143" s="7" t="s">
        <v>913</v>
      </c>
      <c r="M143" s="7" t="s">
        <v>913</v>
      </c>
      <c r="N143" s="7" t="s">
        <v>913</v>
      </c>
      <c r="O143" s="7" t="s">
        <v>913</v>
      </c>
      <c r="P143" s="8">
        <f t="shared" si="7"/>
        <v>0</v>
      </c>
      <c r="Q143" s="9" t="s">
        <v>914</v>
      </c>
      <c r="R143" s="9" t="s">
        <v>1212</v>
      </c>
    </row>
    <row r="144" spans="1:18" ht="94.5" x14ac:dyDescent="0.25">
      <c r="A144" s="136" t="s">
        <v>166</v>
      </c>
      <c r="B144" s="120" t="s">
        <v>723</v>
      </c>
      <c r="C144" s="9" t="s">
        <v>238</v>
      </c>
      <c r="D144" s="120" t="s">
        <v>726</v>
      </c>
      <c r="E144" s="120" t="s">
        <v>239</v>
      </c>
      <c r="F144" s="120" t="s">
        <v>659</v>
      </c>
      <c r="G144" s="136">
        <v>0</v>
      </c>
      <c r="H144" s="120" t="s">
        <v>1266</v>
      </c>
      <c r="I144" s="136" t="s">
        <v>46</v>
      </c>
      <c r="J144" s="7" t="s">
        <v>913</v>
      </c>
      <c r="K144" s="8">
        <f>12000*1.04</f>
        <v>12480</v>
      </c>
      <c r="L144" s="7" t="s">
        <v>913</v>
      </c>
      <c r="M144" s="7" t="s">
        <v>913</v>
      </c>
      <c r="N144" s="7" t="s">
        <v>913</v>
      </c>
      <c r="O144" s="7" t="s">
        <v>913</v>
      </c>
      <c r="P144" s="8">
        <f t="shared" si="7"/>
        <v>12480</v>
      </c>
      <c r="Q144" s="9" t="s">
        <v>1011</v>
      </c>
      <c r="R144" s="9" t="s">
        <v>1211</v>
      </c>
    </row>
    <row r="145" spans="1:18" ht="40.5" x14ac:dyDescent="0.25">
      <c r="A145" s="136"/>
      <c r="B145" s="120"/>
      <c r="C145" s="9" t="s">
        <v>724</v>
      </c>
      <c r="D145" s="120"/>
      <c r="E145" s="120"/>
      <c r="F145" s="120"/>
      <c r="G145" s="136"/>
      <c r="H145" s="136"/>
      <c r="I145" s="136"/>
      <c r="J145" s="7" t="s">
        <v>913</v>
      </c>
      <c r="K145" s="7" t="s">
        <v>913</v>
      </c>
      <c r="L145" s="7" t="s">
        <v>913</v>
      </c>
      <c r="M145" s="7" t="s">
        <v>913</v>
      </c>
      <c r="N145" s="7" t="s">
        <v>913</v>
      </c>
      <c r="O145" s="7" t="s">
        <v>913</v>
      </c>
      <c r="P145" s="8">
        <f t="shared" si="7"/>
        <v>0</v>
      </c>
      <c r="Q145" s="9" t="s">
        <v>1084</v>
      </c>
      <c r="R145" s="9" t="s">
        <v>1084</v>
      </c>
    </row>
    <row r="146" spans="1:18" ht="108" x14ac:dyDescent="0.25">
      <c r="A146" s="136"/>
      <c r="B146" s="120"/>
      <c r="C146" s="9" t="s">
        <v>725</v>
      </c>
      <c r="D146" s="120"/>
      <c r="E146" s="120"/>
      <c r="F146" s="120"/>
      <c r="G146" s="136"/>
      <c r="H146" s="136"/>
      <c r="I146" s="136"/>
      <c r="J146" s="7" t="s">
        <v>913</v>
      </c>
      <c r="K146" s="7" t="s">
        <v>913</v>
      </c>
      <c r="L146" s="8">
        <f>5000*1.04</f>
        <v>5200</v>
      </c>
      <c r="M146" s="8">
        <f>((5000*1.04)*1.1)*1.04</f>
        <v>5948.8000000000011</v>
      </c>
      <c r="N146" s="8">
        <f>+(M146*1.1)*1.04</f>
        <v>6805.4272000000028</v>
      </c>
      <c r="O146" s="8">
        <f>+(N146*1.1)*1.04</f>
        <v>7785.4087168000042</v>
      </c>
      <c r="P146" s="8">
        <f t="shared" si="7"/>
        <v>25739.635916800009</v>
      </c>
      <c r="Q146" s="9" t="s">
        <v>1012</v>
      </c>
      <c r="R146" s="9" t="s">
        <v>1211</v>
      </c>
    </row>
    <row r="147" spans="1:18" ht="121.5" x14ac:dyDescent="0.25">
      <c r="A147" s="120" t="s">
        <v>307</v>
      </c>
      <c r="B147" s="120" t="s">
        <v>739</v>
      </c>
      <c r="C147" s="9" t="s">
        <v>1137</v>
      </c>
      <c r="D147" s="120" t="s">
        <v>704</v>
      </c>
      <c r="E147" s="120" t="s">
        <v>244</v>
      </c>
      <c r="F147" s="137">
        <v>1</v>
      </c>
      <c r="G147" s="137">
        <v>0.1</v>
      </c>
      <c r="H147" s="136" t="s">
        <v>1252</v>
      </c>
      <c r="I147" s="136" t="s">
        <v>46</v>
      </c>
      <c r="J147" s="7" t="s">
        <v>913</v>
      </c>
      <c r="K147" s="7" t="s">
        <v>913</v>
      </c>
      <c r="L147" s="8">
        <f>8000*1.04</f>
        <v>8320</v>
      </c>
      <c r="M147" s="7" t="s">
        <v>913</v>
      </c>
      <c r="N147" s="7" t="s">
        <v>913</v>
      </c>
      <c r="O147" s="7" t="s">
        <v>913</v>
      </c>
      <c r="P147" s="8">
        <f t="shared" si="7"/>
        <v>8320</v>
      </c>
      <c r="Q147" s="9" t="s">
        <v>1013</v>
      </c>
      <c r="R147" s="9" t="s">
        <v>1211</v>
      </c>
    </row>
    <row r="148" spans="1:18" ht="108" x14ac:dyDescent="0.25">
      <c r="A148" s="120"/>
      <c r="B148" s="120"/>
      <c r="C148" s="9" t="s">
        <v>419</v>
      </c>
      <c r="D148" s="120"/>
      <c r="E148" s="120"/>
      <c r="F148" s="137"/>
      <c r="G148" s="137"/>
      <c r="H148" s="136"/>
      <c r="I148" s="136"/>
      <c r="J148" s="7" t="s">
        <v>913</v>
      </c>
      <c r="K148" s="7" t="s">
        <v>913</v>
      </c>
      <c r="L148" s="7" t="s">
        <v>913</v>
      </c>
      <c r="M148" s="7" t="s">
        <v>913</v>
      </c>
      <c r="N148" s="7" t="s">
        <v>913</v>
      </c>
      <c r="O148" s="7" t="s">
        <v>913</v>
      </c>
      <c r="P148" s="8">
        <f t="shared" si="7"/>
        <v>0</v>
      </c>
      <c r="Q148" s="9" t="s">
        <v>914</v>
      </c>
      <c r="R148" s="9" t="s">
        <v>1212</v>
      </c>
    </row>
    <row r="149" spans="1:18" ht="94.5" x14ac:dyDescent="0.25">
      <c r="A149" s="120"/>
      <c r="B149" s="120"/>
      <c r="C149" s="9" t="s">
        <v>240</v>
      </c>
      <c r="D149" s="120"/>
      <c r="E149" s="120"/>
      <c r="F149" s="137"/>
      <c r="G149" s="137"/>
      <c r="H149" s="136"/>
      <c r="I149" s="136"/>
      <c r="J149" s="7" t="s">
        <v>913</v>
      </c>
      <c r="K149" s="7" t="s">
        <v>913</v>
      </c>
      <c r="L149" s="8">
        <f>10000*1.04</f>
        <v>10400</v>
      </c>
      <c r="M149" s="7" t="s">
        <v>913</v>
      </c>
      <c r="N149" s="7" t="s">
        <v>913</v>
      </c>
      <c r="O149" s="7" t="s">
        <v>913</v>
      </c>
      <c r="P149" s="8">
        <f t="shared" si="7"/>
        <v>10400</v>
      </c>
      <c r="Q149" s="9" t="s">
        <v>1014</v>
      </c>
      <c r="R149" s="9" t="s">
        <v>1211</v>
      </c>
    </row>
    <row r="150" spans="1:18" ht="81" x14ac:dyDescent="0.25">
      <c r="A150" s="120"/>
      <c r="B150" s="120"/>
      <c r="C150" s="9" t="s">
        <v>241</v>
      </c>
      <c r="D150" s="120"/>
      <c r="E150" s="120"/>
      <c r="F150" s="137"/>
      <c r="G150" s="137"/>
      <c r="H150" s="136"/>
      <c r="I150" s="136"/>
      <c r="J150" s="7" t="s">
        <v>913</v>
      </c>
      <c r="K150" s="7" t="s">
        <v>913</v>
      </c>
      <c r="L150" s="8">
        <f>10000*1.04</f>
        <v>10400</v>
      </c>
      <c r="M150" s="7" t="s">
        <v>913</v>
      </c>
      <c r="N150" s="7" t="s">
        <v>913</v>
      </c>
      <c r="O150" s="7" t="s">
        <v>913</v>
      </c>
      <c r="P150" s="8">
        <f t="shared" si="7"/>
        <v>10400</v>
      </c>
      <c r="Q150" s="9" t="s">
        <v>1006</v>
      </c>
      <c r="R150" s="9" t="s">
        <v>1211</v>
      </c>
    </row>
    <row r="151" spans="1:18" ht="94.5" x14ac:dyDescent="0.25">
      <c r="A151" s="120"/>
      <c r="B151" s="120"/>
      <c r="C151" s="9" t="s">
        <v>242</v>
      </c>
      <c r="D151" s="120"/>
      <c r="E151" s="120"/>
      <c r="F151" s="137"/>
      <c r="G151" s="137"/>
      <c r="H151" s="136"/>
      <c r="I151" s="136"/>
      <c r="J151" s="7" t="s">
        <v>913</v>
      </c>
      <c r="K151" s="7" t="s">
        <v>913</v>
      </c>
      <c r="L151" s="7" t="s">
        <v>913</v>
      </c>
      <c r="M151" s="7" t="s">
        <v>913</v>
      </c>
      <c r="N151" s="7" t="s">
        <v>913</v>
      </c>
      <c r="O151" s="7" t="s">
        <v>913</v>
      </c>
      <c r="P151" s="8">
        <f t="shared" si="7"/>
        <v>0</v>
      </c>
      <c r="Q151" s="9" t="s">
        <v>1085</v>
      </c>
      <c r="R151" s="9" t="s">
        <v>1085</v>
      </c>
    </row>
    <row r="152" spans="1:18" ht="40.5" x14ac:dyDescent="0.25">
      <c r="A152" s="120"/>
      <c r="B152" s="120"/>
      <c r="C152" s="9" t="s">
        <v>420</v>
      </c>
      <c r="D152" s="120"/>
      <c r="E152" s="120"/>
      <c r="F152" s="137"/>
      <c r="G152" s="137"/>
      <c r="H152" s="136"/>
      <c r="I152" s="136"/>
      <c r="J152" s="7" t="s">
        <v>913</v>
      </c>
      <c r="K152" s="7" t="s">
        <v>913</v>
      </c>
      <c r="L152" s="7" t="s">
        <v>913</v>
      </c>
      <c r="M152" s="7" t="s">
        <v>913</v>
      </c>
      <c r="N152" s="7" t="s">
        <v>913</v>
      </c>
      <c r="O152" s="7" t="s">
        <v>913</v>
      </c>
      <c r="P152" s="8">
        <f t="shared" si="7"/>
        <v>0</v>
      </c>
      <c r="Q152" s="9" t="s">
        <v>914</v>
      </c>
      <c r="R152" s="9" t="s">
        <v>1212</v>
      </c>
    </row>
    <row r="153" spans="1:18" ht="81" x14ac:dyDescent="0.25">
      <c r="A153" s="120"/>
      <c r="B153" s="120"/>
      <c r="C153" s="9" t="s">
        <v>243</v>
      </c>
      <c r="D153" s="120"/>
      <c r="E153" s="120"/>
      <c r="F153" s="137"/>
      <c r="G153" s="137"/>
      <c r="H153" s="136"/>
      <c r="I153" s="136"/>
      <c r="J153" s="7" t="s">
        <v>913</v>
      </c>
      <c r="K153" s="7" t="s">
        <v>913</v>
      </c>
      <c r="L153" s="7" t="s">
        <v>913</v>
      </c>
      <c r="M153" s="7" t="s">
        <v>913</v>
      </c>
      <c r="N153" s="7" t="s">
        <v>913</v>
      </c>
      <c r="O153" s="7" t="s">
        <v>913</v>
      </c>
      <c r="P153" s="8">
        <f t="shared" si="7"/>
        <v>0</v>
      </c>
      <c r="Q153" s="9" t="s">
        <v>914</v>
      </c>
      <c r="R153" s="9" t="s">
        <v>1212</v>
      </c>
    </row>
    <row r="154" spans="1:18" ht="135" x14ac:dyDescent="0.25">
      <c r="A154" s="136" t="s">
        <v>1064</v>
      </c>
      <c r="B154" s="120" t="s">
        <v>421</v>
      </c>
      <c r="C154" s="9" t="s">
        <v>245</v>
      </c>
      <c r="D154" s="120" t="s">
        <v>705</v>
      </c>
      <c r="E154" s="120" t="s">
        <v>247</v>
      </c>
      <c r="F154" s="120" t="s">
        <v>660</v>
      </c>
      <c r="G154" s="137">
        <v>0.05</v>
      </c>
      <c r="H154" s="120" t="s">
        <v>1265</v>
      </c>
      <c r="I154" s="136" t="s">
        <v>46</v>
      </c>
      <c r="J154" s="7" t="s">
        <v>913</v>
      </c>
      <c r="K154" s="7" t="s">
        <v>913</v>
      </c>
      <c r="L154" s="8">
        <f>12000*1.04</f>
        <v>12480</v>
      </c>
      <c r="M154" s="7" t="s">
        <v>913</v>
      </c>
      <c r="N154" s="7" t="s">
        <v>913</v>
      </c>
      <c r="O154" s="7" t="s">
        <v>913</v>
      </c>
      <c r="P154" s="8">
        <f t="shared" si="7"/>
        <v>12480</v>
      </c>
      <c r="Q154" s="9" t="s">
        <v>1006</v>
      </c>
      <c r="R154" s="9" t="s">
        <v>1211</v>
      </c>
    </row>
    <row r="155" spans="1:18" ht="108" x14ac:dyDescent="0.25">
      <c r="A155" s="136"/>
      <c r="B155" s="120"/>
      <c r="C155" s="9" t="s">
        <v>246</v>
      </c>
      <c r="D155" s="120"/>
      <c r="E155" s="120"/>
      <c r="F155" s="120"/>
      <c r="G155" s="136"/>
      <c r="H155" s="136"/>
      <c r="I155" s="136"/>
      <c r="J155" s="7" t="s">
        <v>913</v>
      </c>
      <c r="K155" s="7" t="s">
        <v>913</v>
      </c>
      <c r="L155" s="8">
        <f>((700*50)*1.04)/3</f>
        <v>12133.333333333334</v>
      </c>
      <c r="M155" s="8">
        <f>+L155*1.04</f>
        <v>12618.666666666668</v>
      </c>
      <c r="N155" s="8">
        <f>+M155*1.04</f>
        <v>13123.413333333336</v>
      </c>
      <c r="O155" s="8" t="s">
        <v>913</v>
      </c>
      <c r="P155" s="8">
        <f t="shared" si="7"/>
        <v>37875.413333333338</v>
      </c>
      <c r="Q155" s="9" t="s">
        <v>1015</v>
      </c>
      <c r="R155" s="9" t="s">
        <v>1211</v>
      </c>
    </row>
    <row r="156" spans="1:18" ht="178.9" customHeight="1" x14ac:dyDescent="0.25">
      <c r="A156" s="136"/>
      <c r="B156" s="120"/>
      <c r="C156" s="9" t="s">
        <v>1098</v>
      </c>
      <c r="D156" s="120"/>
      <c r="E156" s="120"/>
      <c r="F156" s="120"/>
      <c r="G156" s="136"/>
      <c r="H156" s="136"/>
      <c r="I156" s="136"/>
      <c r="J156" s="7" t="s">
        <v>913</v>
      </c>
      <c r="K156" s="7" t="s">
        <v>913</v>
      </c>
      <c r="L156" s="8">
        <v>8320</v>
      </c>
      <c r="M156" s="7" t="s">
        <v>913</v>
      </c>
      <c r="N156" s="7" t="s">
        <v>913</v>
      </c>
      <c r="O156" s="7" t="s">
        <v>913</v>
      </c>
      <c r="P156" s="8">
        <f t="shared" ref="P156" si="8">SUM(J156:O156)</f>
        <v>8320</v>
      </c>
      <c r="Q156" s="9" t="s">
        <v>1006</v>
      </c>
      <c r="R156" s="9" t="s">
        <v>1211</v>
      </c>
    </row>
    <row r="157" spans="1:18" ht="94.5" x14ac:dyDescent="0.25">
      <c r="A157" s="136"/>
      <c r="B157" s="120"/>
      <c r="C157" s="9" t="s">
        <v>1099</v>
      </c>
      <c r="D157" s="120"/>
      <c r="E157" s="120"/>
      <c r="F157" s="120"/>
      <c r="G157" s="136"/>
      <c r="H157" s="136"/>
      <c r="I157" s="136"/>
      <c r="J157" s="7" t="s">
        <v>913</v>
      </c>
      <c r="K157" s="7" t="s">
        <v>913</v>
      </c>
      <c r="L157" s="16">
        <f>8000*1.04</f>
        <v>8320</v>
      </c>
      <c r="M157" s="7" t="s">
        <v>913</v>
      </c>
      <c r="N157" s="7" t="s">
        <v>913</v>
      </c>
      <c r="O157" s="7" t="s">
        <v>913</v>
      </c>
      <c r="P157" s="8">
        <f t="shared" si="7"/>
        <v>8320</v>
      </c>
      <c r="Q157" s="9" t="s">
        <v>1006</v>
      </c>
      <c r="R157" s="9" t="s">
        <v>1211</v>
      </c>
    </row>
    <row r="158" spans="1:18" ht="94.5" x14ac:dyDescent="0.25">
      <c r="A158" s="136"/>
      <c r="B158" s="120"/>
      <c r="C158" s="9" t="s">
        <v>1100</v>
      </c>
      <c r="D158" s="120"/>
      <c r="E158" s="120"/>
      <c r="F158" s="120"/>
      <c r="G158" s="136"/>
      <c r="H158" s="136"/>
      <c r="I158" s="136"/>
      <c r="J158" s="7" t="s">
        <v>913</v>
      </c>
      <c r="K158" s="7" t="s">
        <v>913</v>
      </c>
      <c r="L158" s="7" t="s">
        <v>913</v>
      </c>
      <c r="M158" s="7" t="s">
        <v>913</v>
      </c>
      <c r="N158" s="7" t="s">
        <v>913</v>
      </c>
      <c r="O158" s="7" t="s">
        <v>913</v>
      </c>
      <c r="P158" s="8">
        <f t="shared" si="7"/>
        <v>0</v>
      </c>
      <c r="Q158" s="9" t="s">
        <v>1086</v>
      </c>
      <c r="R158" s="9" t="s">
        <v>1086</v>
      </c>
    </row>
    <row r="159" spans="1:18" ht="121.9" customHeight="1" x14ac:dyDescent="0.25">
      <c r="A159" s="136"/>
      <c r="B159" s="120"/>
      <c r="C159" s="9" t="s">
        <v>1101</v>
      </c>
      <c r="D159" s="120"/>
      <c r="E159" s="120"/>
      <c r="F159" s="120"/>
      <c r="G159" s="136"/>
      <c r="H159" s="136"/>
      <c r="I159" s="136"/>
      <c r="J159" s="7" t="s">
        <v>913</v>
      </c>
      <c r="K159" s="7" t="s">
        <v>913</v>
      </c>
      <c r="L159" s="7" t="s">
        <v>913</v>
      </c>
      <c r="M159" s="7" t="s">
        <v>913</v>
      </c>
      <c r="N159" s="7" t="s">
        <v>913</v>
      </c>
      <c r="O159" s="7" t="s">
        <v>913</v>
      </c>
      <c r="P159" s="8">
        <f t="shared" si="7"/>
        <v>0</v>
      </c>
      <c r="Q159" s="9" t="s">
        <v>1086</v>
      </c>
      <c r="R159" s="9" t="s">
        <v>1086</v>
      </c>
    </row>
    <row r="160" spans="1:18" ht="145.9" customHeight="1" x14ac:dyDescent="0.25">
      <c r="A160" s="136" t="s">
        <v>1115</v>
      </c>
      <c r="B160" s="120" t="s">
        <v>1182</v>
      </c>
      <c r="C160" s="9" t="s">
        <v>1102</v>
      </c>
      <c r="D160" s="120" t="s">
        <v>1106</v>
      </c>
      <c r="E160" s="120" t="s">
        <v>1107</v>
      </c>
      <c r="F160" s="120" t="s">
        <v>1108</v>
      </c>
      <c r="G160" s="141">
        <v>0.05</v>
      </c>
      <c r="H160" s="141" t="s">
        <v>1114</v>
      </c>
      <c r="I160" s="141" t="s">
        <v>46</v>
      </c>
      <c r="J160" s="7" t="s">
        <v>913</v>
      </c>
      <c r="K160" s="7" t="s">
        <v>913</v>
      </c>
      <c r="L160" s="16">
        <v>15000</v>
      </c>
      <c r="M160" s="7" t="s">
        <v>913</v>
      </c>
      <c r="N160" s="7" t="s">
        <v>913</v>
      </c>
      <c r="O160" s="7" t="s">
        <v>913</v>
      </c>
      <c r="P160" s="8">
        <f t="shared" ref="P160:P163" si="9">SUM(J160:O160)</f>
        <v>15000</v>
      </c>
      <c r="Q160" s="9" t="s">
        <v>1006</v>
      </c>
      <c r="R160" s="9" t="s">
        <v>1211</v>
      </c>
    </row>
    <row r="161" spans="1:18" ht="64.150000000000006" customHeight="1" x14ac:dyDescent="0.25">
      <c r="A161" s="136"/>
      <c r="B161" s="120"/>
      <c r="C161" s="9" t="s">
        <v>1103</v>
      </c>
      <c r="D161" s="120"/>
      <c r="E161" s="120"/>
      <c r="F161" s="120"/>
      <c r="G161" s="141"/>
      <c r="H161" s="141"/>
      <c r="I161" s="141"/>
      <c r="J161" s="7" t="s">
        <v>913</v>
      </c>
      <c r="K161" s="7" t="s">
        <v>913</v>
      </c>
      <c r="L161" s="7" t="s">
        <v>913</v>
      </c>
      <c r="M161" s="7" t="s">
        <v>913</v>
      </c>
      <c r="N161" s="7" t="s">
        <v>913</v>
      </c>
      <c r="O161" s="7" t="s">
        <v>913</v>
      </c>
      <c r="P161" s="8">
        <f t="shared" si="9"/>
        <v>0</v>
      </c>
      <c r="Q161" s="9" t="s">
        <v>1116</v>
      </c>
      <c r="R161" s="9" t="s">
        <v>1212</v>
      </c>
    </row>
    <row r="162" spans="1:18" ht="157.15" customHeight="1" x14ac:dyDescent="0.25">
      <c r="A162" s="136"/>
      <c r="B162" s="120"/>
      <c r="C162" s="9" t="s">
        <v>1104</v>
      </c>
      <c r="D162" s="120"/>
      <c r="E162" s="120"/>
      <c r="F162" s="120"/>
      <c r="G162" s="141"/>
      <c r="H162" s="141"/>
      <c r="I162" s="141"/>
      <c r="J162" s="7" t="s">
        <v>913</v>
      </c>
      <c r="K162" s="7" t="s">
        <v>913</v>
      </c>
      <c r="L162" s="16">
        <v>120000</v>
      </c>
      <c r="M162" s="7" t="s">
        <v>913</v>
      </c>
      <c r="N162" s="7" t="s">
        <v>913</v>
      </c>
      <c r="O162" s="7" t="s">
        <v>913</v>
      </c>
      <c r="P162" s="8">
        <f t="shared" si="9"/>
        <v>120000</v>
      </c>
      <c r="Q162" s="9" t="s">
        <v>1117</v>
      </c>
      <c r="R162" s="9" t="s">
        <v>1211</v>
      </c>
    </row>
    <row r="163" spans="1:18" ht="145.9" customHeight="1" x14ac:dyDescent="0.25">
      <c r="A163" s="136"/>
      <c r="B163" s="120"/>
      <c r="C163" s="9" t="s">
        <v>1105</v>
      </c>
      <c r="D163" s="120"/>
      <c r="E163" s="120"/>
      <c r="F163" s="120"/>
      <c r="G163" s="141"/>
      <c r="H163" s="141"/>
      <c r="I163" s="141"/>
      <c r="J163" s="7" t="s">
        <v>913</v>
      </c>
      <c r="K163" s="7" t="s">
        <v>913</v>
      </c>
      <c r="L163" s="7" t="s">
        <v>913</v>
      </c>
      <c r="M163" s="7" t="s">
        <v>913</v>
      </c>
      <c r="N163" s="16">
        <v>12200</v>
      </c>
      <c r="O163" s="7" t="s">
        <v>913</v>
      </c>
      <c r="P163" s="8">
        <f t="shared" si="9"/>
        <v>12200</v>
      </c>
      <c r="Q163" s="9" t="s">
        <v>1006</v>
      </c>
      <c r="R163" s="9" t="s">
        <v>1211</v>
      </c>
    </row>
    <row r="164" spans="1:18" ht="196.9" customHeight="1" x14ac:dyDescent="0.25">
      <c r="A164" s="136" t="s">
        <v>1065</v>
      </c>
      <c r="B164" s="120" t="s">
        <v>1111</v>
      </c>
      <c r="C164" s="9" t="s">
        <v>1118</v>
      </c>
      <c r="D164" s="120" t="s">
        <v>1113</v>
      </c>
      <c r="E164" s="120" t="s">
        <v>1120</v>
      </c>
      <c r="F164" s="120" t="s">
        <v>1121</v>
      </c>
      <c r="G164" s="137">
        <v>0</v>
      </c>
      <c r="H164" s="136" t="s">
        <v>758</v>
      </c>
      <c r="I164" s="136" t="s">
        <v>46</v>
      </c>
      <c r="J164" s="7" t="s">
        <v>913</v>
      </c>
      <c r="K164" s="7" t="s">
        <v>913</v>
      </c>
      <c r="L164" s="16">
        <v>42800</v>
      </c>
      <c r="M164" s="7" t="s">
        <v>913</v>
      </c>
      <c r="N164" s="7" t="s">
        <v>913</v>
      </c>
      <c r="O164" s="7" t="s">
        <v>913</v>
      </c>
      <c r="P164" s="8">
        <f t="shared" ref="P164:P167" si="10">SUM(J164:O164)</f>
        <v>42800</v>
      </c>
      <c r="Q164" s="9" t="s">
        <v>1006</v>
      </c>
      <c r="R164" s="9" t="s">
        <v>1211</v>
      </c>
    </row>
    <row r="165" spans="1:18" ht="111.6" customHeight="1" x14ac:dyDescent="0.25">
      <c r="A165" s="136"/>
      <c r="B165" s="120"/>
      <c r="C165" s="9" t="s">
        <v>1109</v>
      </c>
      <c r="D165" s="120"/>
      <c r="E165" s="120"/>
      <c r="F165" s="120"/>
      <c r="G165" s="136"/>
      <c r="H165" s="136"/>
      <c r="I165" s="136"/>
      <c r="J165" s="7" t="s">
        <v>913</v>
      </c>
      <c r="K165" s="7" t="s">
        <v>913</v>
      </c>
      <c r="L165" s="7" t="s">
        <v>913</v>
      </c>
      <c r="M165" s="7" t="s">
        <v>913</v>
      </c>
      <c r="N165" s="7" t="s">
        <v>913</v>
      </c>
      <c r="O165" s="7" t="s">
        <v>913</v>
      </c>
      <c r="P165" s="8">
        <f t="shared" si="10"/>
        <v>0</v>
      </c>
      <c r="Q165" s="9" t="s">
        <v>1119</v>
      </c>
      <c r="R165" s="9" t="s">
        <v>1212</v>
      </c>
    </row>
    <row r="166" spans="1:18" ht="135" x14ac:dyDescent="0.25">
      <c r="A166" s="136"/>
      <c r="B166" s="120"/>
      <c r="C166" s="9" t="s">
        <v>1110</v>
      </c>
      <c r="D166" s="120"/>
      <c r="E166" s="120"/>
      <c r="F166" s="120"/>
      <c r="G166" s="136"/>
      <c r="H166" s="136"/>
      <c r="I166" s="136"/>
      <c r="J166" s="7" t="s">
        <v>913</v>
      </c>
      <c r="K166" s="7" t="s">
        <v>913</v>
      </c>
      <c r="L166" s="16">
        <v>16200</v>
      </c>
      <c r="M166" s="7" t="s">
        <v>913</v>
      </c>
      <c r="N166" s="7" t="s">
        <v>913</v>
      </c>
      <c r="O166" s="7" t="s">
        <v>913</v>
      </c>
      <c r="P166" s="8">
        <f t="shared" si="10"/>
        <v>16200</v>
      </c>
      <c r="Q166" s="9" t="s">
        <v>1006</v>
      </c>
      <c r="R166" s="9" t="s">
        <v>1211</v>
      </c>
    </row>
    <row r="167" spans="1:18" ht="121.5" x14ac:dyDescent="0.25">
      <c r="A167" s="136"/>
      <c r="B167" s="120"/>
      <c r="C167" s="9" t="s">
        <v>1112</v>
      </c>
      <c r="D167" s="120"/>
      <c r="E167" s="120"/>
      <c r="F167" s="120"/>
      <c r="G167" s="136"/>
      <c r="H167" s="136"/>
      <c r="I167" s="136"/>
      <c r="J167" s="7" t="s">
        <v>913</v>
      </c>
      <c r="K167" s="7" t="s">
        <v>913</v>
      </c>
      <c r="L167" s="7" t="s">
        <v>913</v>
      </c>
      <c r="M167" s="16">
        <v>16200</v>
      </c>
      <c r="N167" s="7" t="s">
        <v>913</v>
      </c>
      <c r="O167" s="7" t="s">
        <v>913</v>
      </c>
      <c r="P167" s="8">
        <f t="shared" si="10"/>
        <v>16200</v>
      </c>
      <c r="Q167" s="9" t="s">
        <v>1006</v>
      </c>
      <c r="R167" s="9" t="s">
        <v>1211</v>
      </c>
    </row>
    <row r="168" spans="1:18" x14ac:dyDescent="0.25">
      <c r="A168" s="142" t="s">
        <v>320</v>
      </c>
      <c r="B168" s="143"/>
      <c r="C168" s="143"/>
      <c r="D168" s="143"/>
      <c r="E168" s="143"/>
      <c r="F168" s="143"/>
      <c r="G168" s="143"/>
      <c r="H168" s="143"/>
      <c r="I168" s="144"/>
      <c r="J168" s="77"/>
      <c r="K168" s="77"/>
      <c r="L168" s="77"/>
      <c r="M168" s="77"/>
      <c r="N168" s="77"/>
      <c r="O168" s="77"/>
      <c r="P168" s="78">
        <f>SUM(P134:P167)</f>
        <v>356735.04925013334</v>
      </c>
      <c r="Q168" s="77"/>
      <c r="R168" s="79"/>
    </row>
    <row r="169" spans="1:18" ht="14.25" x14ac:dyDescent="0.25">
      <c r="A169" s="169" t="s">
        <v>1376</v>
      </c>
      <c r="B169" s="170"/>
      <c r="C169" s="170"/>
      <c r="D169" s="170"/>
      <c r="E169" s="170"/>
      <c r="F169" s="170"/>
      <c r="G169" s="170"/>
      <c r="H169" s="170"/>
      <c r="I169" s="171"/>
      <c r="J169" s="80"/>
      <c r="K169" s="80"/>
      <c r="L169" s="80"/>
      <c r="M169" s="80"/>
      <c r="N169" s="80"/>
      <c r="O169" s="80"/>
      <c r="P169" s="80"/>
      <c r="Q169" s="80"/>
      <c r="R169" s="81"/>
    </row>
    <row r="170" spans="1:18" ht="148.5" x14ac:dyDescent="0.25">
      <c r="A170" s="7" t="s">
        <v>674</v>
      </c>
      <c r="B170" s="9" t="s">
        <v>342</v>
      </c>
      <c r="C170" s="9" t="s">
        <v>207</v>
      </c>
      <c r="D170" s="9" t="s">
        <v>706</v>
      </c>
      <c r="E170" s="9" t="s">
        <v>208</v>
      </c>
      <c r="F170" s="9" t="s">
        <v>209</v>
      </c>
      <c r="G170" s="7">
        <v>0</v>
      </c>
      <c r="H170" s="9" t="s">
        <v>1187</v>
      </c>
      <c r="I170" s="9" t="s">
        <v>1380</v>
      </c>
      <c r="J170" s="7" t="s">
        <v>913</v>
      </c>
      <c r="K170" s="7" t="s">
        <v>913</v>
      </c>
      <c r="L170" s="7" t="s">
        <v>913</v>
      </c>
      <c r="M170" s="7" t="s">
        <v>913</v>
      </c>
      <c r="N170" s="7" t="s">
        <v>913</v>
      </c>
      <c r="O170" s="7" t="s">
        <v>913</v>
      </c>
      <c r="P170" s="8">
        <f t="shared" ref="P170:P180" si="11">SUM(J170:O170)</f>
        <v>0</v>
      </c>
      <c r="Q170" s="9" t="s">
        <v>914</v>
      </c>
      <c r="R170" s="9" t="s">
        <v>1212</v>
      </c>
    </row>
    <row r="171" spans="1:18" ht="94.5" x14ac:dyDescent="0.25">
      <c r="A171" s="136" t="s">
        <v>167</v>
      </c>
      <c r="B171" s="120" t="s">
        <v>355</v>
      </c>
      <c r="C171" s="9" t="s">
        <v>422</v>
      </c>
      <c r="D171" s="120" t="s">
        <v>707</v>
      </c>
      <c r="E171" s="9" t="s">
        <v>210</v>
      </c>
      <c r="F171" s="9" t="s">
        <v>211</v>
      </c>
      <c r="G171" s="7">
        <v>0</v>
      </c>
      <c r="H171" s="120" t="s">
        <v>1187</v>
      </c>
      <c r="I171" s="120" t="s">
        <v>575</v>
      </c>
      <c r="J171" s="7" t="s">
        <v>913</v>
      </c>
      <c r="K171" s="7" t="s">
        <v>913</v>
      </c>
      <c r="L171" s="7" t="s">
        <v>913</v>
      </c>
      <c r="M171" s="7" t="s">
        <v>913</v>
      </c>
      <c r="N171" s="7" t="s">
        <v>913</v>
      </c>
      <c r="O171" s="7" t="s">
        <v>913</v>
      </c>
      <c r="P171" s="8">
        <f t="shared" si="11"/>
        <v>0</v>
      </c>
      <c r="Q171" s="9" t="s">
        <v>914</v>
      </c>
      <c r="R171" s="9" t="s">
        <v>1212</v>
      </c>
    </row>
    <row r="172" spans="1:18" ht="162" x14ac:dyDescent="0.25">
      <c r="A172" s="136"/>
      <c r="B172" s="120"/>
      <c r="C172" s="9" t="s">
        <v>423</v>
      </c>
      <c r="D172" s="120"/>
      <c r="E172" s="9" t="s">
        <v>424</v>
      </c>
      <c r="F172" s="9" t="s">
        <v>212</v>
      </c>
      <c r="G172" s="7">
        <v>0</v>
      </c>
      <c r="H172" s="120"/>
      <c r="I172" s="120"/>
      <c r="J172" s="7" t="s">
        <v>913</v>
      </c>
      <c r="K172" s="7" t="s">
        <v>913</v>
      </c>
      <c r="L172" s="7" t="s">
        <v>913</v>
      </c>
      <c r="M172" s="7" t="s">
        <v>913</v>
      </c>
      <c r="N172" s="7" t="s">
        <v>913</v>
      </c>
      <c r="O172" s="7" t="s">
        <v>913</v>
      </c>
      <c r="P172" s="8">
        <f t="shared" si="11"/>
        <v>0</v>
      </c>
      <c r="Q172" s="9" t="s">
        <v>914</v>
      </c>
      <c r="R172" s="9" t="s">
        <v>1212</v>
      </c>
    </row>
    <row r="173" spans="1:18" ht="202.5" x14ac:dyDescent="0.25">
      <c r="A173" s="7" t="s">
        <v>1066</v>
      </c>
      <c r="B173" s="9" t="s">
        <v>425</v>
      </c>
      <c r="C173" s="9" t="s">
        <v>248</v>
      </c>
      <c r="D173" s="9" t="s">
        <v>708</v>
      </c>
      <c r="E173" s="9" t="s">
        <v>249</v>
      </c>
      <c r="F173" s="9" t="s">
        <v>352</v>
      </c>
      <c r="G173" s="7">
        <v>0</v>
      </c>
      <c r="H173" s="7" t="s">
        <v>1264</v>
      </c>
      <c r="I173" s="9" t="s">
        <v>353</v>
      </c>
      <c r="J173" s="7" t="s">
        <v>913</v>
      </c>
      <c r="K173" s="7" t="s">
        <v>913</v>
      </c>
      <c r="L173" s="7" t="s">
        <v>913</v>
      </c>
      <c r="M173" s="7" t="s">
        <v>913</v>
      </c>
      <c r="N173" s="7" t="s">
        <v>913</v>
      </c>
      <c r="O173" s="7" t="s">
        <v>913</v>
      </c>
      <c r="P173" s="8">
        <f t="shared" si="11"/>
        <v>0</v>
      </c>
      <c r="Q173" s="9" t="s">
        <v>914</v>
      </c>
      <c r="R173" s="9" t="s">
        <v>1212</v>
      </c>
    </row>
    <row r="174" spans="1:18" ht="81" x14ac:dyDescent="0.25">
      <c r="A174" s="136" t="s">
        <v>168</v>
      </c>
      <c r="B174" s="120" t="s">
        <v>577</v>
      </c>
      <c r="C174" s="9" t="s">
        <v>578</v>
      </c>
      <c r="D174" s="120" t="s">
        <v>710</v>
      </c>
      <c r="E174" s="120" t="s">
        <v>580</v>
      </c>
      <c r="F174" s="120" t="s">
        <v>581</v>
      </c>
      <c r="G174" s="136">
        <v>0</v>
      </c>
      <c r="H174" s="120" t="s">
        <v>1263</v>
      </c>
      <c r="I174" s="120" t="s">
        <v>582</v>
      </c>
      <c r="J174" s="7" t="s">
        <v>913</v>
      </c>
      <c r="K174" s="7" t="s">
        <v>913</v>
      </c>
      <c r="L174" s="8">
        <f>(35000*1.04)*1.04</f>
        <v>37856</v>
      </c>
      <c r="M174" s="7" t="s">
        <v>913</v>
      </c>
      <c r="N174" s="7" t="s">
        <v>913</v>
      </c>
      <c r="O174" s="7" t="s">
        <v>913</v>
      </c>
      <c r="P174" s="8">
        <f t="shared" si="11"/>
        <v>37856</v>
      </c>
      <c r="Q174" s="9" t="s">
        <v>1006</v>
      </c>
      <c r="R174" s="9" t="s">
        <v>1211</v>
      </c>
    </row>
    <row r="175" spans="1:18" ht="202.15" customHeight="1" x14ac:dyDescent="0.25">
      <c r="A175" s="136"/>
      <c r="B175" s="120"/>
      <c r="C175" s="9" t="s">
        <v>579</v>
      </c>
      <c r="D175" s="120"/>
      <c r="E175" s="120"/>
      <c r="F175" s="120"/>
      <c r="G175" s="136"/>
      <c r="H175" s="120"/>
      <c r="I175" s="120"/>
      <c r="J175" s="7" t="s">
        <v>913</v>
      </c>
      <c r="K175" s="7" t="s">
        <v>913</v>
      </c>
      <c r="L175" s="7" t="s">
        <v>913</v>
      </c>
      <c r="M175" s="7" t="s">
        <v>913</v>
      </c>
      <c r="N175" s="7" t="s">
        <v>913</v>
      </c>
      <c r="O175" s="7" t="s">
        <v>913</v>
      </c>
      <c r="P175" s="8">
        <f t="shared" si="11"/>
        <v>0</v>
      </c>
      <c r="Q175" s="9" t="s">
        <v>914</v>
      </c>
      <c r="R175" s="9" t="s">
        <v>1212</v>
      </c>
    </row>
    <row r="176" spans="1:18" ht="54" x14ac:dyDescent="0.25">
      <c r="A176" s="136" t="s">
        <v>169</v>
      </c>
      <c r="B176" s="120" t="s">
        <v>426</v>
      </c>
      <c r="C176" s="9" t="s">
        <v>392</v>
      </c>
      <c r="D176" s="120" t="s">
        <v>709</v>
      </c>
      <c r="E176" s="120" t="s">
        <v>205</v>
      </c>
      <c r="F176" s="120" t="s">
        <v>352</v>
      </c>
      <c r="G176" s="136">
        <v>0</v>
      </c>
      <c r="H176" s="136" t="s">
        <v>1262</v>
      </c>
      <c r="I176" s="120" t="s">
        <v>1380</v>
      </c>
      <c r="J176" s="7" t="s">
        <v>913</v>
      </c>
      <c r="K176" s="7" t="s">
        <v>913</v>
      </c>
      <c r="L176" s="7" t="s">
        <v>913</v>
      </c>
      <c r="M176" s="7" t="s">
        <v>913</v>
      </c>
      <c r="N176" s="7" t="s">
        <v>913</v>
      </c>
      <c r="O176" s="7" t="s">
        <v>913</v>
      </c>
      <c r="P176" s="8">
        <f t="shared" si="11"/>
        <v>0</v>
      </c>
      <c r="Q176" s="9" t="s">
        <v>914</v>
      </c>
      <c r="R176" s="9" t="s">
        <v>1212</v>
      </c>
    </row>
    <row r="177" spans="1:18" ht="67.5" x14ac:dyDescent="0.25">
      <c r="A177" s="136"/>
      <c r="B177" s="120"/>
      <c r="C177" s="9" t="s">
        <v>393</v>
      </c>
      <c r="D177" s="120"/>
      <c r="E177" s="120"/>
      <c r="F177" s="120"/>
      <c r="G177" s="136"/>
      <c r="H177" s="136"/>
      <c r="I177" s="136"/>
      <c r="J177" s="7" t="s">
        <v>913</v>
      </c>
      <c r="K177" s="7" t="s">
        <v>913</v>
      </c>
      <c r="L177" s="7" t="s">
        <v>913</v>
      </c>
      <c r="M177" s="7" t="s">
        <v>913</v>
      </c>
      <c r="N177" s="7" t="s">
        <v>913</v>
      </c>
      <c r="O177" s="7" t="s">
        <v>913</v>
      </c>
      <c r="P177" s="8">
        <f t="shared" si="11"/>
        <v>0</v>
      </c>
      <c r="Q177" s="9" t="s">
        <v>914</v>
      </c>
      <c r="R177" s="9" t="s">
        <v>1212</v>
      </c>
    </row>
    <row r="178" spans="1:18" ht="67.5" x14ac:dyDescent="0.25">
      <c r="A178" s="136"/>
      <c r="B178" s="120"/>
      <c r="C178" s="9" t="s">
        <v>394</v>
      </c>
      <c r="D178" s="120"/>
      <c r="E178" s="120"/>
      <c r="F178" s="120"/>
      <c r="G178" s="136"/>
      <c r="H178" s="136"/>
      <c r="I178" s="136"/>
      <c r="J178" s="7" t="s">
        <v>913</v>
      </c>
      <c r="K178" s="7" t="s">
        <v>913</v>
      </c>
      <c r="L178" s="7" t="s">
        <v>913</v>
      </c>
      <c r="M178" s="7" t="s">
        <v>913</v>
      </c>
      <c r="N178" s="7" t="s">
        <v>913</v>
      </c>
      <c r="O178" s="7" t="s">
        <v>913</v>
      </c>
      <c r="P178" s="8">
        <f t="shared" si="11"/>
        <v>0</v>
      </c>
      <c r="Q178" s="9" t="s">
        <v>914</v>
      </c>
      <c r="R178" s="9" t="s">
        <v>1212</v>
      </c>
    </row>
    <row r="179" spans="1:18" ht="54" x14ac:dyDescent="0.25">
      <c r="A179" s="136" t="s">
        <v>170</v>
      </c>
      <c r="B179" s="120" t="s">
        <v>908</v>
      </c>
      <c r="C179" s="9" t="s">
        <v>909</v>
      </c>
      <c r="D179" s="120" t="s">
        <v>643</v>
      </c>
      <c r="E179" s="120" t="s">
        <v>205</v>
      </c>
      <c r="F179" s="120" t="s">
        <v>352</v>
      </c>
      <c r="G179" s="136">
        <v>0</v>
      </c>
      <c r="H179" s="136" t="s">
        <v>1262</v>
      </c>
      <c r="I179" s="120" t="s">
        <v>575</v>
      </c>
      <c r="J179" s="7" t="s">
        <v>913</v>
      </c>
      <c r="K179" s="7" t="s">
        <v>913</v>
      </c>
      <c r="L179" s="7" t="s">
        <v>913</v>
      </c>
      <c r="M179" s="7" t="s">
        <v>913</v>
      </c>
      <c r="N179" s="7" t="s">
        <v>913</v>
      </c>
      <c r="O179" s="7" t="s">
        <v>913</v>
      </c>
      <c r="P179" s="8">
        <f t="shared" si="11"/>
        <v>0</v>
      </c>
      <c r="Q179" s="9" t="s">
        <v>914</v>
      </c>
      <c r="R179" s="9" t="s">
        <v>1212</v>
      </c>
    </row>
    <row r="180" spans="1:18" ht="148.5" x14ac:dyDescent="0.25">
      <c r="A180" s="136"/>
      <c r="B180" s="120"/>
      <c r="C180" s="9" t="s">
        <v>910</v>
      </c>
      <c r="D180" s="120"/>
      <c r="E180" s="120"/>
      <c r="F180" s="120"/>
      <c r="G180" s="136"/>
      <c r="H180" s="136"/>
      <c r="I180" s="136"/>
      <c r="J180" s="7" t="s">
        <v>913</v>
      </c>
      <c r="K180" s="7" t="s">
        <v>913</v>
      </c>
      <c r="L180" s="7" t="s">
        <v>913</v>
      </c>
      <c r="M180" s="7" t="s">
        <v>913</v>
      </c>
      <c r="N180" s="7" t="s">
        <v>913</v>
      </c>
      <c r="O180" s="7" t="s">
        <v>913</v>
      </c>
      <c r="P180" s="8">
        <f t="shared" si="11"/>
        <v>0</v>
      </c>
      <c r="Q180" s="9" t="s">
        <v>914</v>
      </c>
      <c r="R180" s="9" t="s">
        <v>1212</v>
      </c>
    </row>
    <row r="181" spans="1:18" x14ac:dyDescent="0.25">
      <c r="A181" s="142" t="s">
        <v>322</v>
      </c>
      <c r="B181" s="143"/>
      <c r="C181" s="143"/>
      <c r="D181" s="143"/>
      <c r="E181" s="143"/>
      <c r="F181" s="143"/>
      <c r="G181" s="143"/>
      <c r="H181" s="143"/>
      <c r="I181" s="144"/>
      <c r="J181" s="77"/>
      <c r="K181" s="77"/>
      <c r="L181" s="77"/>
      <c r="M181" s="77"/>
      <c r="N181" s="77"/>
      <c r="O181" s="77"/>
      <c r="P181" s="78">
        <f>SUM(P170:P180)</f>
        <v>37856</v>
      </c>
      <c r="Q181" s="77"/>
      <c r="R181" s="79"/>
    </row>
    <row r="182" spans="1:18" ht="14.25" x14ac:dyDescent="0.25">
      <c r="A182" s="207" t="s">
        <v>1358</v>
      </c>
      <c r="B182" s="208"/>
      <c r="C182" s="208"/>
      <c r="D182" s="208"/>
      <c r="E182" s="208"/>
      <c r="F182" s="208"/>
      <c r="G182" s="208"/>
      <c r="H182" s="208"/>
      <c r="I182" s="209"/>
      <c r="J182" s="83"/>
      <c r="K182" s="83"/>
      <c r="L182" s="83"/>
      <c r="M182" s="83"/>
      <c r="N182" s="83"/>
      <c r="O182" s="83"/>
      <c r="P182" s="84">
        <f>+P181+P168+P132+P105+P75+P46</f>
        <v>17204996.954964418</v>
      </c>
      <c r="Q182" s="83"/>
      <c r="R182" s="83"/>
    </row>
    <row r="183" spans="1:18" ht="14.25" x14ac:dyDescent="0.25">
      <c r="A183" s="184" t="s">
        <v>13</v>
      </c>
      <c r="B183" s="185"/>
      <c r="C183" s="185"/>
      <c r="D183" s="185"/>
      <c r="E183" s="185"/>
      <c r="F183" s="185"/>
      <c r="G183" s="185"/>
      <c r="H183" s="185"/>
      <c r="I183" s="186"/>
      <c r="J183" s="85"/>
      <c r="K183" s="85"/>
      <c r="L183" s="85"/>
      <c r="M183" s="85"/>
      <c r="N183" s="85"/>
      <c r="O183" s="85"/>
      <c r="P183" s="85"/>
      <c r="Q183" s="85"/>
      <c r="R183" s="86"/>
    </row>
    <row r="184" spans="1:18" x14ac:dyDescent="0.25">
      <c r="A184" s="187" t="s">
        <v>14</v>
      </c>
      <c r="B184" s="188"/>
      <c r="C184" s="188"/>
      <c r="D184" s="188"/>
      <c r="E184" s="188"/>
      <c r="F184" s="188"/>
      <c r="G184" s="188"/>
      <c r="H184" s="188"/>
      <c r="I184" s="189"/>
      <c r="J184" s="80"/>
      <c r="K184" s="80"/>
      <c r="L184" s="80"/>
      <c r="M184" s="80"/>
      <c r="N184" s="80"/>
      <c r="O184" s="80"/>
      <c r="P184" s="80"/>
      <c r="Q184" s="80"/>
      <c r="R184" s="81"/>
    </row>
    <row r="185" spans="1:18" ht="96" customHeight="1" x14ac:dyDescent="0.25">
      <c r="A185" s="136" t="s">
        <v>308</v>
      </c>
      <c r="B185" s="164" t="s">
        <v>741</v>
      </c>
      <c r="C185" s="9" t="s">
        <v>335</v>
      </c>
      <c r="D185" s="164" t="s">
        <v>697</v>
      </c>
      <c r="E185" s="164" t="s">
        <v>1181</v>
      </c>
      <c r="F185" s="164" t="s">
        <v>631</v>
      </c>
      <c r="G185" s="183" t="s">
        <v>632</v>
      </c>
      <c r="H185" s="164" t="s">
        <v>1261</v>
      </c>
      <c r="I185" s="172" t="s">
        <v>1364</v>
      </c>
      <c r="J185" s="7" t="s">
        <v>913</v>
      </c>
      <c r="K185" s="7" t="s">
        <v>913</v>
      </c>
      <c r="L185" s="8">
        <f>50000*1.04</f>
        <v>52000</v>
      </c>
      <c r="M185" s="7" t="s">
        <v>913</v>
      </c>
      <c r="N185" s="7" t="s">
        <v>913</v>
      </c>
      <c r="O185" s="7" t="s">
        <v>913</v>
      </c>
      <c r="P185" s="8">
        <f t="shared" ref="P185:P227" si="12">SUM(J185:O185)</f>
        <v>52000</v>
      </c>
      <c r="Q185" s="9" t="s">
        <v>1006</v>
      </c>
      <c r="R185" s="9" t="s">
        <v>1211</v>
      </c>
    </row>
    <row r="186" spans="1:18" ht="121.5" x14ac:dyDescent="0.25">
      <c r="A186" s="136"/>
      <c r="B186" s="164"/>
      <c r="C186" s="9" t="s">
        <v>630</v>
      </c>
      <c r="D186" s="164"/>
      <c r="E186" s="164"/>
      <c r="F186" s="164"/>
      <c r="G186" s="164"/>
      <c r="H186" s="164"/>
      <c r="I186" s="172"/>
      <c r="J186" s="7" t="s">
        <v>913</v>
      </c>
      <c r="K186" s="7" t="s">
        <v>913</v>
      </c>
      <c r="L186" s="8">
        <f>25000*1.04</f>
        <v>26000</v>
      </c>
      <c r="M186" s="7" t="s">
        <v>913</v>
      </c>
      <c r="N186" s="7" t="s">
        <v>913</v>
      </c>
      <c r="O186" s="7" t="s">
        <v>913</v>
      </c>
      <c r="P186" s="8">
        <f t="shared" si="12"/>
        <v>26000</v>
      </c>
      <c r="Q186" s="9" t="s">
        <v>1006</v>
      </c>
      <c r="R186" s="9" t="s">
        <v>1211</v>
      </c>
    </row>
    <row r="187" spans="1:18" ht="95.45" customHeight="1" x14ac:dyDescent="0.25">
      <c r="A187" s="136"/>
      <c r="B187" s="164"/>
      <c r="C187" s="9" t="s">
        <v>629</v>
      </c>
      <c r="D187" s="164"/>
      <c r="E187" s="164"/>
      <c r="F187" s="164"/>
      <c r="G187" s="164"/>
      <c r="H187" s="164"/>
      <c r="I187" s="172"/>
      <c r="J187" s="7" t="s">
        <v>913</v>
      </c>
      <c r="K187" s="7" t="s">
        <v>913</v>
      </c>
      <c r="L187" s="7" t="s">
        <v>913</v>
      </c>
      <c r="M187" s="7" t="s">
        <v>913</v>
      </c>
      <c r="N187" s="7" t="s">
        <v>913</v>
      </c>
      <c r="O187" s="7" t="s">
        <v>913</v>
      </c>
      <c r="P187" s="8">
        <f t="shared" si="12"/>
        <v>0</v>
      </c>
      <c r="Q187" s="9" t="s">
        <v>1218</v>
      </c>
      <c r="R187" s="9" t="s">
        <v>1218</v>
      </c>
    </row>
    <row r="188" spans="1:18" ht="182.45" customHeight="1" x14ac:dyDescent="0.25">
      <c r="A188" s="136"/>
      <c r="B188" s="164"/>
      <c r="C188" s="9" t="s">
        <v>336</v>
      </c>
      <c r="D188" s="164"/>
      <c r="E188" s="164"/>
      <c r="F188" s="164"/>
      <c r="G188" s="164"/>
      <c r="H188" s="164"/>
      <c r="I188" s="172"/>
      <c r="J188" s="7" t="s">
        <v>913</v>
      </c>
      <c r="K188" s="7" t="s">
        <v>913</v>
      </c>
      <c r="L188" s="7" t="s">
        <v>913</v>
      </c>
      <c r="M188" s="7" t="s">
        <v>913</v>
      </c>
      <c r="N188" s="7" t="s">
        <v>913</v>
      </c>
      <c r="O188" s="7" t="s">
        <v>913</v>
      </c>
      <c r="P188" s="8">
        <f t="shared" si="12"/>
        <v>0</v>
      </c>
      <c r="Q188" s="9" t="s">
        <v>914</v>
      </c>
      <c r="R188" s="9" t="s">
        <v>1212</v>
      </c>
    </row>
    <row r="189" spans="1:18" ht="27" x14ac:dyDescent="0.25">
      <c r="A189" s="136"/>
      <c r="B189" s="164"/>
      <c r="C189" s="9" t="s">
        <v>1136</v>
      </c>
      <c r="D189" s="164"/>
      <c r="E189" s="164"/>
      <c r="F189" s="164"/>
      <c r="G189" s="164"/>
      <c r="H189" s="164"/>
      <c r="I189" s="172"/>
      <c r="J189" s="7" t="s">
        <v>913</v>
      </c>
      <c r="K189" s="7" t="s">
        <v>913</v>
      </c>
      <c r="L189" s="7" t="s">
        <v>913</v>
      </c>
      <c r="M189" s="7" t="s">
        <v>913</v>
      </c>
      <c r="N189" s="7" t="s">
        <v>913</v>
      </c>
      <c r="O189" s="7" t="s">
        <v>913</v>
      </c>
      <c r="P189" s="8">
        <f t="shared" si="12"/>
        <v>0</v>
      </c>
      <c r="Q189" s="9" t="s">
        <v>914</v>
      </c>
      <c r="R189" s="9" t="s">
        <v>1212</v>
      </c>
    </row>
    <row r="190" spans="1:18" ht="94.5" x14ac:dyDescent="0.25">
      <c r="A190" s="136" t="s">
        <v>309</v>
      </c>
      <c r="B190" s="120" t="s">
        <v>427</v>
      </c>
      <c r="C190" s="9" t="s">
        <v>258</v>
      </c>
      <c r="D190" s="120" t="s">
        <v>711</v>
      </c>
      <c r="E190" s="120" t="s">
        <v>263</v>
      </c>
      <c r="F190" s="120" t="s">
        <v>661</v>
      </c>
      <c r="G190" s="136">
        <v>0</v>
      </c>
      <c r="H190" s="120" t="s">
        <v>1260</v>
      </c>
      <c r="I190" s="136" t="s">
        <v>46</v>
      </c>
      <c r="J190" s="7" t="s">
        <v>913</v>
      </c>
      <c r="K190" s="7" t="s">
        <v>913</v>
      </c>
      <c r="L190" s="8">
        <f>15000*1.04</f>
        <v>15600</v>
      </c>
      <c r="M190" s="8">
        <f t="shared" ref="M190:O190" si="13">+L190*1.04</f>
        <v>16224</v>
      </c>
      <c r="N190" s="8">
        <f t="shared" si="13"/>
        <v>16872.96</v>
      </c>
      <c r="O190" s="8">
        <f t="shared" si="13"/>
        <v>17547.878400000001</v>
      </c>
      <c r="P190" s="8">
        <f t="shared" si="12"/>
        <v>66244.838400000008</v>
      </c>
      <c r="Q190" s="9" t="s">
        <v>1016</v>
      </c>
      <c r="R190" s="9" t="s">
        <v>1211</v>
      </c>
    </row>
    <row r="191" spans="1:18" ht="81" x14ac:dyDescent="0.25">
      <c r="A191" s="136"/>
      <c r="B191" s="120"/>
      <c r="C191" s="9" t="s">
        <v>259</v>
      </c>
      <c r="D191" s="120"/>
      <c r="E191" s="120"/>
      <c r="F191" s="120"/>
      <c r="G191" s="136"/>
      <c r="H191" s="136"/>
      <c r="I191" s="136"/>
      <c r="J191" s="7" t="s">
        <v>913</v>
      </c>
      <c r="K191" s="7" t="s">
        <v>913</v>
      </c>
      <c r="L191" s="7" t="s">
        <v>913</v>
      </c>
      <c r="M191" s="7" t="s">
        <v>913</v>
      </c>
      <c r="N191" s="7" t="s">
        <v>913</v>
      </c>
      <c r="O191" s="7" t="s">
        <v>913</v>
      </c>
      <c r="P191" s="8">
        <f t="shared" si="12"/>
        <v>0</v>
      </c>
      <c r="Q191" s="9" t="s">
        <v>914</v>
      </c>
      <c r="R191" s="9" t="s">
        <v>1212</v>
      </c>
    </row>
    <row r="192" spans="1:18" ht="94.5" x14ac:dyDescent="0.25">
      <c r="A192" s="136"/>
      <c r="B192" s="120"/>
      <c r="C192" s="9" t="s">
        <v>260</v>
      </c>
      <c r="D192" s="120"/>
      <c r="E192" s="120"/>
      <c r="F192" s="120"/>
      <c r="G192" s="136"/>
      <c r="H192" s="136"/>
      <c r="I192" s="136"/>
      <c r="J192" s="7" t="s">
        <v>913</v>
      </c>
      <c r="K192" s="7" t="s">
        <v>913</v>
      </c>
      <c r="L192" s="7" t="s">
        <v>913</v>
      </c>
      <c r="M192" s="7" t="s">
        <v>913</v>
      </c>
      <c r="N192" s="7" t="s">
        <v>913</v>
      </c>
      <c r="O192" s="7" t="s">
        <v>913</v>
      </c>
      <c r="P192" s="8">
        <f t="shared" si="12"/>
        <v>0</v>
      </c>
      <c r="Q192" s="9" t="s">
        <v>1087</v>
      </c>
      <c r="R192" s="9" t="s">
        <v>1087</v>
      </c>
    </row>
    <row r="193" spans="1:18" ht="54" x14ac:dyDescent="0.25">
      <c r="A193" s="136"/>
      <c r="B193" s="120"/>
      <c r="C193" s="9" t="s">
        <v>261</v>
      </c>
      <c r="D193" s="120"/>
      <c r="E193" s="120"/>
      <c r="F193" s="120"/>
      <c r="G193" s="136"/>
      <c r="H193" s="136"/>
      <c r="I193" s="136"/>
      <c r="J193" s="7" t="s">
        <v>913</v>
      </c>
      <c r="K193" s="7" t="s">
        <v>913</v>
      </c>
      <c r="L193" s="7" t="s">
        <v>913</v>
      </c>
      <c r="M193" s="7" t="s">
        <v>913</v>
      </c>
      <c r="N193" s="7" t="s">
        <v>913</v>
      </c>
      <c r="O193" s="7" t="s">
        <v>913</v>
      </c>
      <c r="P193" s="8">
        <f t="shared" si="12"/>
        <v>0</v>
      </c>
      <c r="Q193" s="9" t="s">
        <v>914</v>
      </c>
      <c r="R193" s="9" t="s">
        <v>1212</v>
      </c>
    </row>
    <row r="194" spans="1:18" ht="40.5" x14ac:dyDescent="0.25">
      <c r="A194" s="136"/>
      <c r="B194" s="120"/>
      <c r="C194" s="9" t="s">
        <v>432</v>
      </c>
      <c r="D194" s="120"/>
      <c r="E194" s="120"/>
      <c r="F194" s="120"/>
      <c r="G194" s="136"/>
      <c r="H194" s="136"/>
      <c r="I194" s="136"/>
      <c r="J194" s="7" t="s">
        <v>913</v>
      </c>
      <c r="K194" s="7" t="s">
        <v>913</v>
      </c>
      <c r="L194" s="7" t="s">
        <v>913</v>
      </c>
      <c r="M194" s="7" t="s">
        <v>913</v>
      </c>
      <c r="N194" s="7" t="s">
        <v>913</v>
      </c>
      <c r="O194" s="7" t="s">
        <v>913</v>
      </c>
      <c r="P194" s="8">
        <f t="shared" si="12"/>
        <v>0</v>
      </c>
      <c r="Q194" s="9" t="s">
        <v>914</v>
      </c>
      <c r="R194" s="9" t="s">
        <v>1212</v>
      </c>
    </row>
    <row r="195" spans="1:18" ht="81" x14ac:dyDescent="0.25">
      <c r="A195" s="136"/>
      <c r="B195" s="120"/>
      <c r="C195" s="9" t="s">
        <v>262</v>
      </c>
      <c r="D195" s="120"/>
      <c r="E195" s="120"/>
      <c r="F195" s="120"/>
      <c r="G195" s="136"/>
      <c r="H195" s="136"/>
      <c r="I195" s="136"/>
      <c r="J195" s="7" t="s">
        <v>913</v>
      </c>
      <c r="K195" s="7" t="s">
        <v>913</v>
      </c>
      <c r="L195" s="7" t="s">
        <v>913</v>
      </c>
      <c r="M195" s="7" t="s">
        <v>913</v>
      </c>
      <c r="N195" s="7" t="s">
        <v>913</v>
      </c>
      <c r="O195" s="7" t="s">
        <v>913</v>
      </c>
      <c r="P195" s="8">
        <f t="shared" si="12"/>
        <v>0</v>
      </c>
      <c r="Q195" s="9" t="s">
        <v>1087</v>
      </c>
      <c r="R195" s="9" t="s">
        <v>1087</v>
      </c>
    </row>
    <row r="196" spans="1:18" ht="148.5" x14ac:dyDescent="0.25">
      <c r="A196" s="136" t="s">
        <v>310</v>
      </c>
      <c r="B196" s="120" t="s">
        <v>550</v>
      </c>
      <c r="C196" s="9" t="s">
        <v>433</v>
      </c>
      <c r="D196" s="120" t="s">
        <v>712</v>
      </c>
      <c r="E196" s="120" t="s">
        <v>551</v>
      </c>
      <c r="F196" s="120" t="s">
        <v>266</v>
      </c>
      <c r="G196" s="136">
        <v>0</v>
      </c>
      <c r="H196" s="136" t="s">
        <v>1230</v>
      </c>
      <c r="I196" s="136" t="s">
        <v>46</v>
      </c>
      <c r="J196" s="7" t="s">
        <v>913</v>
      </c>
      <c r="K196" s="7" t="s">
        <v>913</v>
      </c>
      <c r="L196" s="17">
        <f>50000*1.04</f>
        <v>52000</v>
      </c>
      <c r="M196" s="7" t="s">
        <v>913</v>
      </c>
      <c r="N196" s="7" t="s">
        <v>913</v>
      </c>
      <c r="O196" s="7" t="s">
        <v>913</v>
      </c>
      <c r="P196" s="8">
        <f t="shared" si="12"/>
        <v>52000</v>
      </c>
      <c r="Q196" s="18" t="s">
        <v>1006</v>
      </c>
      <c r="R196" s="9" t="s">
        <v>1211</v>
      </c>
    </row>
    <row r="197" spans="1:18" ht="40.5" x14ac:dyDescent="0.25">
      <c r="A197" s="136"/>
      <c r="B197" s="120"/>
      <c r="C197" s="6" t="s">
        <v>186</v>
      </c>
      <c r="D197" s="120"/>
      <c r="E197" s="120"/>
      <c r="F197" s="120"/>
      <c r="G197" s="136"/>
      <c r="H197" s="136"/>
      <c r="I197" s="136"/>
      <c r="J197" s="7" t="s">
        <v>913</v>
      </c>
      <c r="K197" s="7" t="s">
        <v>913</v>
      </c>
      <c r="L197" s="7" t="s">
        <v>913</v>
      </c>
      <c r="M197" s="7" t="s">
        <v>913</v>
      </c>
      <c r="N197" s="7" t="s">
        <v>913</v>
      </c>
      <c r="O197" s="7" t="s">
        <v>913</v>
      </c>
      <c r="P197" s="8">
        <f t="shared" si="12"/>
        <v>0</v>
      </c>
      <c r="Q197" s="19" t="s">
        <v>1017</v>
      </c>
      <c r="R197" s="19" t="s">
        <v>1017</v>
      </c>
    </row>
    <row r="198" spans="1:18" ht="67.5" x14ac:dyDescent="0.25">
      <c r="A198" s="136"/>
      <c r="B198" s="120"/>
      <c r="C198" s="6" t="s">
        <v>146</v>
      </c>
      <c r="D198" s="120"/>
      <c r="E198" s="120"/>
      <c r="F198" s="120"/>
      <c r="G198" s="136"/>
      <c r="H198" s="136"/>
      <c r="I198" s="136"/>
      <c r="J198" s="7" t="s">
        <v>913</v>
      </c>
      <c r="K198" s="7" t="s">
        <v>913</v>
      </c>
      <c r="L198" s="7" t="s">
        <v>913</v>
      </c>
      <c r="M198" s="7" t="s">
        <v>913</v>
      </c>
      <c r="N198" s="7" t="s">
        <v>913</v>
      </c>
      <c r="O198" s="7" t="s">
        <v>913</v>
      </c>
      <c r="P198" s="8">
        <f t="shared" si="12"/>
        <v>0</v>
      </c>
      <c r="Q198" s="18" t="s">
        <v>914</v>
      </c>
      <c r="R198" s="9" t="s">
        <v>1212</v>
      </c>
    </row>
    <row r="199" spans="1:18" ht="40.5" x14ac:dyDescent="0.25">
      <c r="A199" s="136"/>
      <c r="B199" s="120"/>
      <c r="C199" s="6" t="s">
        <v>627</v>
      </c>
      <c r="D199" s="120"/>
      <c r="E199" s="120"/>
      <c r="F199" s="120"/>
      <c r="G199" s="136"/>
      <c r="H199" s="136"/>
      <c r="I199" s="136"/>
      <c r="J199" s="7" t="s">
        <v>913</v>
      </c>
      <c r="K199" s="7" t="s">
        <v>913</v>
      </c>
      <c r="L199" s="7" t="s">
        <v>913</v>
      </c>
      <c r="M199" s="7" t="s">
        <v>913</v>
      </c>
      <c r="N199" s="7" t="s">
        <v>913</v>
      </c>
      <c r="O199" s="7" t="s">
        <v>913</v>
      </c>
      <c r="P199" s="8">
        <f t="shared" si="12"/>
        <v>0</v>
      </c>
      <c r="Q199" s="18" t="s">
        <v>914</v>
      </c>
      <c r="R199" s="9" t="s">
        <v>1212</v>
      </c>
    </row>
    <row r="200" spans="1:18" ht="94.5" x14ac:dyDescent="0.25">
      <c r="A200" s="136"/>
      <c r="B200" s="120"/>
      <c r="C200" s="6" t="s">
        <v>264</v>
      </c>
      <c r="D200" s="120"/>
      <c r="E200" s="120"/>
      <c r="F200" s="120"/>
      <c r="G200" s="136"/>
      <c r="H200" s="136"/>
      <c r="I200" s="136"/>
      <c r="J200" s="7" t="s">
        <v>913</v>
      </c>
      <c r="K200" s="7" t="s">
        <v>913</v>
      </c>
      <c r="L200" s="8">
        <f>10000*1.04</f>
        <v>10400</v>
      </c>
      <c r="M200" s="8">
        <f>+L200*1.04</f>
        <v>10816</v>
      </c>
      <c r="N200" s="7" t="s">
        <v>913</v>
      </c>
      <c r="O200" s="7" t="s">
        <v>913</v>
      </c>
      <c r="P200" s="8">
        <f t="shared" si="12"/>
        <v>21216</v>
      </c>
      <c r="Q200" s="18" t="s">
        <v>1018</v>
      </c>
      <c r="R200" s="9" t="s">
        <v>1211</v>
      </c>
    </row>
    <row r="201" spans="1:18" ht="27" x14ac:dyDescent="0.25">
      <c r="A201" s="136"/>
      <c r="B201" s="120"/>
      <c r="C201" s="6" t="s">
        <v>188</v>
      </c>
      <c r="D201" s="120"/>
      <c r="E201" s="120"/>
      <c r="F201" s="120"/>
      <c r="G201" s="136"/>
      <c r="H201" s="136"/>
      <c r="I201" s="136"/>
      <c r="J201" s="7" t="s">
        <v>913</v>
      </c>
      <c r="K201" s="7" t="s">
        <v>913</v>
      </c>
      <c r="L201" s="7" t="s">
        <v>913</v>
      </c>
      <c r="M201" s="7" t="s">
        <v>913</v>
      </c>
      <c r="N201" s="7" t="s">
        <v>913</v>
      </c>
      <c r="O201" s="7" t="s">
        <v>913</v>
      </c>
      <c r="P201" s="8">
        <f t="shared" si="12"/>
        <v>0</v>
      </c>
      <c r="Q201" s="18" t="s">
        <v>914</v>
      </c>
      <c r="R201" s="9" t="s">
        <v>1212</v>
      </c>
    </row>
    <row r="202" spans="1:18" ht="54" x14ac:dyDescent="0.25">
      <c r="A202" s="136"/>
      <c r="B202" s="120"/>
      <c r="C202" s="6" t="s">
        <v>189</v>
      </c>
      <c r="D202" s="120"/>
      <c r="E202" s="120"/>
      <c r="F202" s="120"/>
      <c r="G202" s="136"/>
      <c r="H202" s="136"/>
      <c r="I202" s="136"/>
      <c r="J202" s="7"/>
      <c r="K202" s="7"/>
      <c r="L202" s="8">
        <f>(201000/3*1.04)*1.04</f>
        <v>72467.199999999997</v>
      </c>
      <c r="M202" s="8">
        <f>+L202*1.04</f>
        <v>75365.888000000006</v>
      </c>
      <c r="N202" s="8">
        <f>+M202*1.04</f>
        <v>78380.523520000002</v>
      </c>
      <c r="O202" s="7" t="s">
        <v>913</v>
      </c>
      <c r="P202" s="8">
        <f t="shared" si="12"/>
        <v>226213.61151999998</v>
      </c>
      <c r="Q202" s="19" t="s">
        <v>923</v>
      </c>
      <c r="R202" s="9" t="s">
        <v>1211</v>
      </c>
    </row>
    <row r="203" spans="1:18" ht="27" x14ac:dyDescent="0.25">
      <c r="A203" s="136"/>
      <c r="B203" s="120"/>
      <c r="C203" s="6" t="s">
        <v>190</v>
      </c>
      <c r="D203" s="120"/>
      <c r="E203" s="120"/>
      <c r="F203" s="120"/>
      <c r="G203" s="136"/>
      <c r="H203" s="136"/>
      <c r="I203" s="136"/>
      <c r="J203" s="7" t="s">
        <v>913</v>
      </c>
      <c r="K203" s="7" t="s">
        <v>913</v>
      </c>
      <c r="L203" s="7" t="s">
        <v>913</v>
      </c>
      <c r="M203" s="7" t="s">
        <v>913</v>
      </c>
      <c r="N203" s="7" t="s">
        <v>913</v>
      </c>
      <c r="O203" s="7" t="s">
        <v>913</v>
      </c>
      <c r="P203" s="8">
        <f t="shared" si="12"/>
        <v>0</v>
      </c>
      <c r="Q203" s="19" t="s">
        <v>1019</v>
      </c>
      <c r="R203" s="9" t="s">
        <v>1212</v>
      </c>
    </row>
    <row r="204" spans="1:18" ht="27" x14ac:dyDescent="0.25">
      <c r="A204" s="136"/>
      <c r="B204" s="120"/>
      <c r="C204" s="6" t="s">
        <v>191</v>
      </c>
      <c r="D204" s="120"/>
      <c r="E204" s="120"/>
      <c r="F204" s="120"/>
      <c r="G204" s="136"/>
      <c r="H204" s="136"/>
      <c r="I204" s="136"/>
      <c r="J204" s="7" t="s">
        <v>913</v>
      </c>
      <c r="K204" s="7" t="s">
        <v>913</v>
      </c>
      <c r="L204" s="7" t="s">
        <v>913</v>
      </c>
      <c r="M204" s="7" t="s">
        <v>913</v>
      </c>
      <c r="N204" s="7" t="s">
        <v>913</v>
      </c>
      <c r="O204" s="7" t="s">
        <v>913</v>
      </c>
      <c r="P204" s="8">
        <f t="shared" si="12"/>
        <v>0</v>
      </c>
      <c r="Q204" s="19" t="s">
        <v>1019</v>
      </c>
      <c r="R204" s="9" t="s">
        <v>1212</v>
      </c>
    </row>
    <row r="205" spans="1:18" ht="108" x14ac:dyDescent="0.25">
      <c r="A205" s="136"/>
      <c r="B205" s="120"/>
      <c r="C205" s="6" t="s">
        <v>265</v>
      </c>
      <c r="D205" s="120"/>
      <c r="E205" s="120"/>
      <c r="F205" s="120"/>
      <c r="G205" s="136"/>
      <c r="H205" s="136"/>
      <c r="I205" s="136"/>
      <c r="J205" s="7" t="s">
        <v>913</v>
      </c>
      <c r="K205" s="7" t="s">
        <v>913</v>
      </c>
      <c r="L205" s="7" t="s">
        <v>913</v>
      </c>
      <c r="M205" s="7" t="s">
        <v>913</v>
      </c>
      <c r="N205" s="7" t="s">
        <v>913</v>
      </c>
      <c r="O205" s="7" t="s">
        <v>913</v>
      </c>
      <c r="P205" s="8">
        <f t="shared" si="12"/>
        <v>0</v>
      </c>
      <c r="Q205" s="18" t="s">
        <v>914</v>
      </c>
      <c r="R205" s="9" t="s">
        <v>1212</v>
      </c>
    </row>
    <row r="206" spans="1:18" ht="81" x14ac:dyDescent="0.25">
      <c r="A206" s="190" t="s">
        <v>311</v>
      </c>
      <c r="B206" s="164" t="s">
        <v>470</v>
      </c>
      <c r="C206" s="20" t="s">
        <v>471</v>
      </c>
      <c r="D206" s="164" t="s">
        <v>531</v>
      </c>
      <c r="E206" s="164" t="s">
        <v>472</v>
      </c>
      <c r="F206" s="164" t="s">
        <v>532</v>
      </c>
      <c r="G206" s="164">
        <v>0</v>
      </c>
      <c r="H206" s="164" t="s">
        <v>1230</v>
      </c>
      <c r="I206" s="164" t="s">
        <v>46</v>
      </c>
      <c r="J206" s="7" t="s">
        <v>913</v>
      </c>
      <c r="K206" s="7" t="s">
        <v>913</v>
      </c>
      <c r="L206" s="8">
        <f>+(161000/2)*1.04</f>
        <v>83720</v>
      </c>
      <c r="M206" s="8">
        <f>+L206*1.04</f>
        <v>87068.800000000003</v>
      </c>
      <c r="N206" s="7" t="s">
        <v>913</v>
      </c>
      <c r="O206" s="7" t="s">
        <v>913</v>
      </c>
      <c r="P206" s="8">
        <f t="shared" si="12"/>
        <v>170788.8</v>
      </c>
      <c r="Q206" s="18" t="s">
        <v>1020</v>
      </c>
      <c r="R206" s="9" t="s">
        <v>1211</v>
      </c>
    </row>
    <row r="207" spans="1:18" ht="81" x14ac:dyDescent="0.25">
      <c r="A207" s="190"/>
      <c r="B207" s="164"/>
      <c r="C207" s="20" t="s">
        <v>530</v>
      </c>
      <c r="D207" s="164"/>
      <c r="E207" s="164"/>
      <c r="F207" s="164"/>
      <c r="G207" s="164"/>
      <c r="H207" s="164"/>
      <c r="I207" s="164"/>
      <c r="J207" s="7" t="s">
        <v>913</v>
      </c>
      <c r="K207" s="7" t="s">
        <v>913</v>
      </c>
      <c r="L207" s="7" t="s">
        <v>913</v>
      </c>
      <c r="M207" s="7" t="s">
        <v>913</v>
      </c>
      <c r="N207" s="7" t="s">
        <v>913</v>
      </c>
      <c r="O207" s="7" t="s">
        <v>913</v>
      </c>
      <c r="P207" s="8">
        <f t="shared" si="12"/>
        <v>0</v>
      </c>
      <c r="Q207" s="18" t="s">
        <v>1088</v>
      </c>
      <c r="R207" s="18" t="s">
        <v>1088</v>
      </c>
    </row>
    <row r="208" spans="1:18" ht="108" x14ac:dyDescent="0.25">
      <c r="A208" s="190"/>
      <c r="B208" s="164"/>
      <c r="C208" s="20" t="s">
        <v>473</v>
      </c>
      <c r="D208" s="164"/>
      <c r="E208" s="164"/>
      <c r="F208" s="164"/>
      <c r="G208" s="164"/>
      <c r="H208" s="164"/>
      <c r="I208" s="164"/>
      <c r="J208" s="7" t="s">
        <v>913</v>
      </c>
      <c r="K208" s="7" t="s">
        <v>913</v>
      </c>
      <c r="L208" s="7" t="s">
        <v>913</v>
      </c>
      <c r="M208" s="7" t="s">
        <v>913</v>
      </c>
      <c r="N208" s="7" t="s">
        <v>913</v>
      </c>
      <c r="O208" s="7" t="s">
        <v>913</v>
      </c>
      <c r="P208" s="8">
        <f t="shared" si="12"/>
        <v>0</v>
      </c>
      <c r="Q208" s="18" t="s">
        <v>914</v>
      </c>
      <c r="R208" s="9" t="s">
        <v>1212</v>
      </c>
    </row>
    <row r="209" spans="1:18" ht="54" x14ac:dyDescent="0.25">
      <c r="A209" s="190"/>
      <c r="B209" s="164"/>
      <c r="C209" s="20" t="s">
        <v>474</v>
      </c>
      <c r="D209" s="164"/>
      <c r="E209" s="164"/>
      <c r="F209" s="164"/>
      <c r="G209" s="164"/>
      <c r="H209" s="164"/>
      <c r="I209" s="164"/>
      <c r="J209" s="7" t="s">
        <v>913</v>
      </c>
      <c r="K209" s="7" t="s">
        <v>913</v>
      </c>
      <c r="L209" s="21"/>
      <c r="M209" s="8">
        <f>+(260000*1.04)*1.04</f>
        <v>281216</v>
      </c>
      <c r="N209" s="7" t="s">
        <v>913</v>
      </c>
      <c r="O209" s="7" t="s">
        <v>913</v>
      </c>
      <c r="P209" s="8">
        <f t="shared" si="12"/>
        <v>281216</v>
      </c>
      <c r="Q209" s="18" t="s">
        <v>1021</v>
      </c>
      <c r="R209" s="9" t="s">
        <v>1211</v>
      </c>
    </row>
    <row r="210" spans="1:18" ht="40.5" x14ac:dyDescent="0.25">
      <c r="A210" s="190"/>
      <c r="B210" s="164"/>
      <c r="C210" s="20" t="s">
        <v>475</v>
      </c>
      <c r="D210" s="164"/>
      <c r="E210" s="164"/>
      <c r="F210" s="164"/>
      <c r="G210" s="164"/>
      <c r="H210" s="164"/>
      <c r="I210" s="164"/>
      <c r="J210" s="7" t="s">
        <v>913</v>
      </c>
      <c r="K210" s="7" t="s">
        <v>913</v>
      </c>
      <c r="L210" s="7" t="s">
        <v>913</v>
      </c>
      <c r="M210" s="7" t="s">
        <v>913</v>
      </c>
      <c r="N210" s="7" t="s">
        <v>913</v>
      </c>
      <c r="O210" s="7" t="s">
        <v>913</v>
      </c>
      <c r="P210" s="8">
        <f t="shared" si="12"/>
        <v>0</v>
      </c>
      <c r="Q210" s="18" t="s">
        <v>1089</v>
      </c>
      <c r="R210" s="9" t="s">
        <v>1212</v>
      </c>
    </row>
    <row r="211" spans="1:18" ht="148.5" x14ac:dyDescent="0.25">
      <c r="A211" s="190"/>
      <c r="B211" s="164"/>
      <c r="C211" s="20" t="s">
        <v>476</v>
      </c>
      <c r="D211" s="164"/>
      <c r="E211" s="164"/>
      <c r="F211" s="164"/>
      <c r="G211" s="164"/>
      <c r="H211" s="164"/>
      <c r="I211" s="164"/>
      <c r="J211" s="7" t="s">
        <v>913</v>
      </c>
      <c r="K211" s="7" t="s">
        <v>913</v>
      </c>
      <c r="L211" s="7" t="s">
        <v>913</v>
      </c>
      <c r="M211" s="7" t="s">
        <v>913</v>
      </c>
      <c r="N211" s="7" t="s">
        <v>913</v>
      </c>
      <c r="O211" s="7" t="s">
        <v>913</v>
      </c>
      <c r="P211" s="8">
        <f t="shared" si="12"/>
        <v>0</v>
      </c>
      <c r="Q211" s="18" t="s">
        <v>1090</v>
      </c>
      <c r="R211" s="9" t="s">
        <v>1212</v>
      </c>
    </row>
    <row r="212" spans="1:18" ht="94.5" x14ac:dyDescent="0.25">
      <c r="A212" s="190"/>
      <c r="B212" s="164"/>
      <c r="C212" s="20" t="s">
        <v>477</v>
      </c>
      <c r="D212" s="164"/>
      <c r="E212" s="164"/>
      <c r="F212" s="164"/>
      <c r="G212" s="164"/>
      <c r="H212" s="164"/>
      <c r="I212" s="164"/>
      <c r="J212" s="7" t="s">
        <v>913</v>
      </c>
      <c r="K212" s="7" t="s">
        <v>913</v>
      </c>
      <c r="L212" s="7" t="s">
        <v>913</v>
      </c>
      <c r="M212" s="8">
        <f>+(30*(350)*1.04)</f>
        <v>10920</v>
      </c>
      <c r="N212" s="8">
        <f>+M212*1.04</f>
        <v>11356.800000000001</v>
      </c>
      <c r="O212" s="7" t="s">
        <v>913</v>
      </c>
      <c r="P212" s="8">
        <f t="shared" si="12"/>
        <v>22276.800000000003</v>
      </c>
      <c r="Q212" s="18" t="s">
        <v>1219</v>
      </c>
      <c r="R212" s="9" t="s">
        <v>1211</v>
      </c>
    </row>
    <row r="213" spans="1:18" ht="54" x14ac:dyDescent="0.25">
      <c r="A213" s="190"/>
      <c r="B213" s="164"/>
      <c r="C213" s="20" t="s">
        <v>533</v>
      </c>
      <c r="D213" s="164"/>
      <c r="E213" s="164"/>
      <c r="F213" s="164"/>
      <c r="G213" s="164"/>
      <c r="H213" s="164"/>
      <c r="I213" s="164"/>
      <c r="J213" s="7" t="s">
        <v>913</v>
      </c>
      <c r="K213" s="7" t="s">
        <v>913</v>
      </c>
      <c r="L213" s="7" t="s">
        <v>913</v>
      </c>
      <c r="M213" s="7" t="s">
        <v>913</v>
      </c>
      <c r="N213" s="7" t="s">
        <v>913</v>
      </c>
      <c r="O213" s="7" t="s">
        <v>913</v>
      </c>
      <c r="P213" s="8">
        <f t="shared" si="12"/>
        <v>0</v>
      </c>
      <c r="Q213" s="18" t="s">
        <v>1090</v>
      </c>
      <c r="R213" s="18" t="s">
        <v>1090</v>
      </c>
    </row>
    <row r="214" spans="1:18" ht="108" x14ac:dyDescent="0.25">
      <c r="A214" s="190"/>
      <c r="B214" s="164"/>
      <c r="C214" s="20" t="s">
        <v>478</v>
      </c>
      <c r="D214" s="164"/>
      <c r="E214" s="164"/>
      <c r="F214" s="164"/>
      <c r="G214" s="164"/>
      <c r="H214" s="164"/>
      <c r="I214" s="164"/>
      <c r="J214" s="7" t="s">
        <v>913</v>
      </c>
      <c r="K214" s="7" t="s">
        <v>913</v>
      </c>
      <c r="L214" s="7" t="s">
        <v>913</v>
      </c>
      <c r="M214" s="7" t="s">
        <v>913</v>
      </c>
      <c r="N214" s="7" t="s">
        <v>913</v>
      </c>
      <c r="O214" s="7" t="s">
        <v>913</v>
      </c>
      <c r="P214" s="8">
        <f t="shared" si="12"/>
        <v>0</v>
      </c>
      <c r="Q214" s="18" t="s">
        <v>914</v>
      </c>
      <c r="R214" s="9" t="s">
        <v>1212</v>
      </c>
    </row>
    <row r="215" spans="1:18" ht="108" x14ac:dyDescent="0.25">
      <c r="A215" s="136" t="s">
        <v>312</v>
      </c>
      <c r="B215" s="120" t="s">
        <v>552</v>
      </c>
      <c r="C215" s="9" t="s">
        <v>1298</v>
      </c>
      <c r="D215" s="120" t="s">
        <v>713</v>
      </c>
      <c r="E215" s="120" t="s">
        <v>268</v>
      </c>
      <c r="F215" s="137" t="s">
        <v>662</v>
      </c>
      <c r="G215" s="137">
        <v>0.1</v>
      </c>
      <c r="H215" s="141" t="s">
        <v>1259</v>
      </c>
      <c r="I215" s="137" t="s">
        <v>46</v>
      </c>
      <c r="J215" s="7" t="s">
        <v>913</v>
      </c>
      <c r="K215" s="7" t="s">
        <v>913</v>
      </c>
      <c r="L215" s="8">
        <f>20000*1.04</f>
        <v>20800</v>
      </c>
      <c r="M215" s="7" t="s">
        <v>913</v>
      </c>
      <c r="N215" s="7" t="s">
        <v>913</v>
      </c>
      <c r="O215" s="7" t="s">
        <v>913</v>
      </c>
      <c r="P215" s="8">
        <f t="shared" si="12"/>
        <v>20800</v>
      </c>
      <c r="Q215" s="18" t="s">
        <v>1021</v>
      </c>
      <c r="R215" s="9" t="s">
        <v>1211</v>
      </c>
    </row>
    <row r="216" spans="1:18" ht="67.5" x14ac:dyDescent="0.25">
      <c r="A216" s="136"/>
      <c r="B216" s="120"/>
      <c r="C216" s="9" t="s">
        <v>553</v>
      </c>
      <c r="D216" s="120"/>
      <c r="E216" s="120"/>
      <c r="F216" s="137"/>
      <c r="G216" s="137"/>
      <c r="H216" s="137"/>
      <c r="I216" s="137"/>
      <c r="J216" s="7" t="s">
        <v>913</v>
      </c>
      <c r="K216" s="7" t="s">
        <v>913</v>
      </c>
      <c r="L216" s="8">
        <f>10000*1.04</f>
        <v>10400</v>
      </c>
      <c r="M216" s="7" t="s">
        <v>913</v>
      </c>
      <c r="N216" s="7" t="s">
        <v>913</v>
      </c>
      <c r="O216" s="7" t="s">
        <v>913</v>
      </c>
      <c r="P216" s="8">
        <f t="shared" si="12"/>
        <v>10400</v>
      </c>
      <c r="Q216" s="18" t="s">
        <v>1021</v>
      </c>
      <c r="R216" s="9" t="s">
        <v>1211</v>
      </c>
    </row>
    <row r="217" spans="1:18" ht="67.5" x14ac:dyDescent="0.25">
      <c r="A217" s="136"/>
      <c r="B217" s="120"/>
      <c r="C217" s="9" t="s">
        <v>554</v>
      </c>
      <c r="D217" s="120"/>
      <c r="E217" s="120"/>
      <c r="F217" s="137"/>
      <c r="G217" s="137"/>
      <c r="H217" s="137"/>
      <c r="I217" s="137"/>
      <c r="J217" s="7" t="s">
        <v>913</v>
      </c>
      <c r="K217" s="7" t="s">
        <v>913</v>
      </c>
      <c r="L217" s="7" t="s">
        <v>913</v>
      </c>
      <c r="M217" s="7" t="s">
        <v>913</v>
      </c>
      <c r="N217" s="7" t="s">
        <v>913</v>
      </c>
      <c r="O217" s="7" t="s">
        <v>913</v>
      </c>
      <c r="P217" s="8">
        <f t="shared" si="12"/>
        <v>0</v>
      </c>
      <c r="Q217" s="18" t="s">
        <v>1091</v>
      </c>
      <c r="R217" s="18" t="s">
        <v>1091</v>
      </c>
    </row>
    <row r="218" spans="1:18" ht="81" x14ac:dyDescent="0.25">
      <c r="A218" s="136"/>
      <c r="B218" s="120"/>
      <c r="C218" s="9" t="s">
        <v>555</v>
      </c>
      <c r="D218" s="120"/>
      <c r="E218" s="120"/>
      <c r="F218" s="137"/>
      <c r="G218" s="137"/>
      <c r="H218" s="137"/>
      <c r="I218" s="137"/>
      <c r="J218" s="7" t="s">
        <v>913</v>
      </c>
      <c r="K218" s="7" t="s">
        <v>913</v>
      </c>
      <c r="L218" s="7" t="s">
        <v>913</v>
      </c>
      <c r="M218" s="7" t="s">
        <v>913</v>
      </c>
      <c r="N218" s="7" t="s">
        <v>913</v>
      </c>
      <c r="O218" s="7" t="s">
        <v>913</v>
      </c>
      <c r="P218" s="8">
        <f t="shared" si="12"/>
        <v>0</v>
      </c>
      <c r="Q218" s="18" t="s">
        <v>914</v>
      </c>
      <c r="R218" s="9" t="s">
        <v>1212</v>
      </c>
    </row>
    <row r="219" spans="1:18" ht="54" x14ac:dyDescent="0.25">
      <c r="A219" s="136"/>
      <c r="B219" s="120"/>
      <c r="C219" s="9" t="s">
        <v>556</v>
      </c>
      <c r="D219" s="120"/>
      <c r="E219" s="120"/>
      <c r="F219" s="137"/>
      <c r="G219" s="137"/>
      <c r="H219" s="137"/>
      <c r="I219" s="137"/>
      <c r="J219" s="7" t="s">
        <v>913</v>
      </c>
      <c r="K219" s="7" t="s">
        <v>913</v>
      </c>
      <c r="L219" s="8">
        <f>5000*1.04</f>
        <v>5200</v>
      </c>
      <c r="M219" s="8">
        <f>+(L219*1.1)*1.04</f>
        <v>5948.8000000000011</v>
      </c>
      <c r="N219" s="8">
        <f>+(M219*1.1)*1.04</f>
        <v>6805.4272000000028</v>
      </c>
      <c r="O219" s="7" t="s">
        <v>913</v>
      </c>
      <c r="P219" s="8">
        <f t="shared" si="12"/>
        <v>17954.227200000005</v>
      </c>
      <c r="Q219" s="9" t="s">
        <v>1014</v>
      </c>
      <c r="R219" s="9" t="s">
        <v>1211</v>
      </c>
    </row>
    <row r="220" spans="1:18" ht="81" x14ac:dyDescent="0.25">
      <c r="A220" s="136"/>
      <c r="B220" s="120"/>
      <c r="C220" s="9" t="s">
        <v>557</v>
      </c>
      <c r="D220" s="120"/>
      <c r="E220" s="120"/>
      <c r="F220" s="137"/>
      <c r="G220" s="137"/>
      <c r="H220" s="137"/>
      <c r="I220" s="137"/>
      <c r="J220" s="7" t="s">
        <v>913</v>
      </c>
      <c r="K220" s="7" t="s">
        <v>913</v>
      </c>
      <c r="L220" s="7" t="s">
        <v>913</v>
      </c>
      <c r="M220" s="7" t="s">
        <v>913</v>
      </c>
      <c r="N220" s="7" t="s">
        <v>913</v>
      </c>
      <c r="O220" s="7" t="s">
        <v>913</v>
      </c>
      <c r="P220" s="8">
        <f t="shared" si="12"/>
        <v>0</v>
      </c>
      <c r="Q220" s="9" t="s">
        <v>914</v>
      </c>
      <c r="R220" s="9" t="s">
        <v>1212</v>
      </c>
    </row>
    <row r="221" spans="1:18" ht="94.5" x14ac:dyDescent="0.25">
      <c r="A221" s="136" t="s">
        <v>428</v>
      </c>
      <c r="B221" s="120" t="s">
        <v>267</v>
      </c>
      <c r="C221" s="9" t="s">
        <v>270</v>
      </c>
      <c r="D221" s="120" t="s">
        <v>686</v>
      </c>
      <c r="E221" s="120" t="s">
        <v>273</v>
      </c>
      <c r="F221" s="120" t="s">
        <v>274</v>
      </c>
      <c r="G221" s="120">
        <v>0</v>
      </c>
      <c r="H221" s="120" t="s">
        <v>1258</v>
      </c>
      <c r="I221" s="136" t="s">
        <v>46</v>
      </c>
      <c r="J221" s="7" t="s">
        <v>913</v>
      </c>
      <c r="K221" s="7" t="s">
        <v>913</v>
      </c>
      <c r="L221" s="8">
        <f>8000*1.04</f>
        <v>8320</v>
      </c>
      <c r="M221" s="8">
        <f>+(L221*1.1)*1.04</f>
        <v>9518.08</v>
      </c>
      <c r="N221" s="8">
        <f>+(M221*1.05)*1.04</f>
        <v>10393.74336</v>
      </c>
      <c r="O221" s="7" t="s">
        <v>913</v>
      </c>
      <c r="P221" s="8">
        <f t="shared" si="12"/>
        <v>28231.823360000002</v>
      </c>
      <c r="Q221" s="9" t="s">
        <v>1021</v>
      </c>
      <c r="R221" s="9" t="s">
        <v>1211</v>
      </c>
    </row>
    <row r="222" spans="1:18" ht="67.5" x14ac:dyDescent="0.25">
      <c r="A222" s="136"/>
      <c r="B222" s="120"/>
      <c r="C222" s="9" t="s">
        <v>271</v>
      </c>
      <c r="D222" s="120"/>
      <c r="E222" s="120"/>
      <c r="F222" s="120"/>
      <c r="G222" s="120"/>
      <c r="H222" s="120"/>
      <c r="I222" s="136"/>
      <c r="J222" s="7" t="s">
        <v>913</v>
      </c>
      <c r="K222" s="7" t="s">
        <v>913</v>
      </c>
      <c r="L222" s="7" t="s">
        <v>913</v>
      </c>
      <c r="M222" s="7" t="s">
        <v>913</v>
      </c>
      <c r="N222" s="7" t="s">
        <v>913</v>
      </c>
      <c r="O222" s="7" t="s">
        <v>913</v>
      </c>
      <c r="P222" s="8">
        <f t="shared" si="12"/>
        <v>0</v>
      </c>
      <c r="Q222" s="9" t="s">
        <v>1092</v>
      </c>
      <c r="R222" s="9" t="s">
        <v>1092</v>
      </c>
    </row>
    <row r="223" spans="1:18" ht="27" x14ac:dyDescent="0.25">
      <c r="A223" s="136"/>
      <c r="B223" s="120"/>
      <c r="C223" s="9" t="s">
        <v>272</v>
      </c>
      <c r="D223" s="120"/>
      <c r="E223" s="120"/>
      <c r="F223" s="120"/>
      <c r="G223" s="120"/>
      <c r="H223" s="120"/>
      <c r="I223" s="136"/>
      <c r="J223" s="7" t="s">
        <v>913</v>
      </c>
      <c r="K223" s="7" t="s">
        <v>913</v>
      </c>
      <c r="L223" s="7" t="s">
        <v>913</v>
      </c>
      <c r="M223" s="7" t="s">
        <v>913</v>
      </c>
      <c r="N223" s="7" t="s">
        <v>913</v>
      </c>
      <c r="O223" s="7" t="s">
        <v>913</v>
      </c>
      <c r="P223" s="8">
        <f t="shared" si="12"/>
        <v>0</v>
      </c>
      <c r="Q223" s="9" t="s">
        <v>914</v>
      </c>
      <c r="R223" s="9" t="s">
        <v>1212</v>
      </c>
    </row>
    <row r="224" spans="1:18" ht="27" x14ac:dyDescent="0.25">
      <c r="A224" s="136" t="s">
        <v>1067</v>
      </c>
      <c r="B224" s="120" t="s">
        <v>349</v>
      </c>
      <c r="C224" s="9" t="s">
        <v>429</v>
      </c>
      <c r="D224" s="120" t="s">
        <v>714</v>
      </c>
      <c r="E224" s="120" t="s">
        <v>275</v>
      </c>
      <c r="F224" s="120" t="s">
        <v>434</v>
      </c>
      <c r="G224" s="137">
        <v>0.05</v>
      </c>
      <c r="H224" s="120" t="s">
        <v>1246</v>
      </c>
      <c r="I224" s="136" t="s">
        <v>46</v>
      </c>
      <c r="J224" s="7" t="s">
        <v>913</v>
      </c>
      <c r="K224" s="7" t="s">
        <v>913</v>
      </c>
      <c r="L224" s="7" t="s">
        <v>913</v>
      </c>
      <c r="M224" s="7" t="s">
        <v>913</v>
      </c>
      <c r="N224" s="7" t="s">
        <v>913</v>
      </c>
      <c r="O224" s="7" t="s">
        <v>913</v>
      </c>
      <c r="P224" s="8">
        <f t="shared" si="12"/>
        <v>0</v>
      </c>
      <c r="Q224" s="9" t="s">
        <v>914</v>
      </c>
      <c r="R224" s="9" t="s">
        <v>1212</v>
      </c>
    </row>
    <row r="225" spans="1:18" ht="87.6" customHeight="1" x14ac:dyDescent="0.25">
      <c r="A225" s="136"/>
      <c r="B225" s="120"/>
      <c r="C225" s="9" t="s">
        <v>430</v>
      </c>
      <c r="D225" s="120"/>
      <c r="E225" s="120"/>
      <c r="F225" s="120"/>
      <c r="G225" s="137"/>
      <c r="H225" s="120"/>
      <c r="I225" s="136"/>
      <c r="J225" s="7" t="s">
        <v>913</v>
      </c>
      <c r="K225" s="7" t="s">
        <v>913</v>
      </c>
      <c r="L225" s="22">
        <f>35000*1.04*2</f>
        <v>72800</v>
      </c>
      <c r="M225" s="7" t="s">
        <v>913</v>
      </c>
      <c r="N225" s="7" t="s">
        <v>913</v>
      </c>
      <c r="O225" s="7" t="s">
        <v>913</v>
      </c>
      <c r="P225" s="8">
        <f t="shared" si="12"/>
        <v>72800</v>
      </c>
      <c r="Q225" s="18" t="s">
        <v>1021</v>
      </c>
      <c r="R225" s="9" t="s">
        <v>1211</v>
      </c>
    </row>
    <row r="226" spans="1:18" ht="135" x14ac:dyDescent="0.25">
      <c r="A226" s="136"/>
      <c r="B226" s="120"/>
      <c r="C226" s="9" t="s">
        <v>431</v>
      </c>
      <c r="D226" s="120"/>
      <c r="E226" s="120"/>
      <c r="F226" s="120"/>
      <c r="G226" s="137"/>
      <c r="H226" s="120"/>
      <c r="I226" s="136"/>
      <c r="J226" s="7" t="s">
        <v>913</v>
      </c>
      <c r="K226" s="7" t="s">
        <v>913</v>
      </c>
      <c r="L226" s="22">
        <f>10000*1.04*2</f>
        <v>20800</v>
      </c>
      <c r="M226" s="7" t="s">
        <v>913</v>
      </c>
      <c r="N226" s="7" t="s">
        <v>913</v>
      </c>
      <c r="O226" s="7" t="s">
        <v>913</v>
      </c>
      <c r="P226" s="8">
        <f t="shared" si="12"/>
        <v>20800</v>
      </c>
      <c r="Q226" s="18" t="s">
        <v>1021</v>
      </c>
      <c r="R226" s="9" t="s">
        <v>1211</v>
      </c>
    </row>
    <row r="227" spans="1:18" ht="40.5" x14ac:dyDescent="0.25">
      <c r="A227" s="136"/>
      <c r="B227" s="120"/>
      <c r="C227" s="9" t="s">
        <v>269</v>
      </c>
      <c r="D227" s="120"/>
      <c r="E227" s="120"/>
      <c r="F227" s="120"/>
      <c r="G227" s="137"/>
      <c r="H227" s="120"/>
      <c r="I227" s="136"/>
      <c r="J227" s="7" t="s">
        <v>913</v>
      </c>
      <c r="K227" s="7" t="s">
        <v>913</v>
      </c>
      <c r="L227" s="7" t="s">
        <v>913</v>
      </c>
      <c r="M227" s="7" t="s">
        <v>913</v>
      </c>
      <c r="N227" s="7" t="s">
        <v>913</v>
      </c>
      <c r="O227" s="7" t="s">
        <v>913</v>
      </c>
      <c r="P227" s="8">
        <f t="shared" si="12"/>
        <v>0</v>
      </c>
      <c r="Q227" s="18" t="s">
        <v>914</v>
      </c>
      <c r="R227" s="9" t="s">
        <v>1212</v>
      </c>
    </row>
    <row r="228" spans="1:18" x14ac:dyDescent="0.25">
      <c r="A228" s="142" t="s">
        <v>320</v>
      </c>
      <c r="B228" s="143"/>
      <c r="C228" s="143"/>
      <c r="D228" s="143"/>
      <c r="E228" s="143"/>
      <c r="F228" s="143"/>
      <c r="G228" s="143"/>
      <c r="H228" s="143"/>
      <c r="I228" s="144"/>
      <c r="J228" s="77"/>
      <c r="K228" s="77"/>
      <c r="L228" s="77"/>
      <c r="M228" s="77"/>
      <c r="N228" s="77"/>
      <c r="O228" s="77"/>
      <c r="P228" s="78">
        <f>SUM(P185:P227)</f>
        <v>1088942.10048</v>
      </c>
      <c r="Q228" s="77"/>
      <c r="R228" s="79"/>
    </row>
    <row r="229" spans="1:18" ht="14.25" x14ac:dyDescent="0.25">
      <c r="A229" s="169" t="s">
        <v>15</v>
      </c>
      <c r="B229" s="170"/>
      <c r="C229" s="170"/>
      <c r="D229" s="170"/>
      <c r="E229" s="170"/>
      <c r="F229" s="170"/>
      <c r="G229" s="170"/>
      <c r="H229" s="170"/>
      <c r="I229" s="171"/>
      <c r="J229" s="80"/>
      <c r="K229" s="80"/>
      <c r="L229" s="80"/>
      <c r="M229" s="80"/>
      <c r="N229" s="80"/>
      <c r="O229" s="80"/>
      <c r="P229" s="80"/>
      <c r="Q229" s="80"/>
      <c r="R229" s="81"/>
    </row>
    <row r="230" spans="1:18" ht="108" x14ac:dyDescent="0.25">
      <c r="A230" s="136" t="s">
        <v>313</v>
      </c>
      <c r="B230" s="164" t="s">
        <v>276</v>
      </c>
      <c r="C230" s="9" t="s">
        <v>277</v>
      </c>
      <c r="D230" s="120" t="s">
        <v>715</v>
      </c>
      <c r="E230" s="120" t="s">
        <v>281</v>
      </c>
      <c r="F230" s="120" t="s">
        <v>663</v>
      </c>
      <c r="G230" s="136">
        <v>0</v>
      </c>
      <c r="H230" s="136" t="s">
        <v>1239</v>
      </c>
      <c r="I230" s="120" t="s">
        <v>664</v>
      </c>
      <c r="J230" s="7" t="s">
        <v>913</v>
      </c>
      <c r="K230" s="7" t="s">
        <v>913</v>
      </c>
      <c r="L230" s="16">
        <f>+(65000/2)*1.04</f>
        <v>33800</v>
      </c>
      <c r="M230" s="16">
        <f>+L230*1.04</f>
        <v>35152</v>
      </c>
      <c r="N230" s="7" t="s">
        <v>913</v>
      </c>
      <c r="O230" s="7" t="s">
        <v>913</v>
      </c>
      <c r="P230" s="8">
        <f t="shared" ref="P230:P254" si="14">SUM(J230:O230)</f>
        <v>68952</v>
      </c>
      <c r="Q230" s="18" t="s">
        <v>1021</v>
      </c>
      <c r="R230" s="9" t="s">
        <v>1211</v>
      </c>
    </row>
    <row r="231" spans="1:18" ht="135" x14ac:dyDescent="0.25">
      <c r="A231" s="136"/>
      <c r="B231" s="164"/>
      <c r="C231" s="9" t="s">
        <v>436</v>
      </c>
      <c r="D231" s="120"/>
      <c r="E231" s="120"/>
      <c r="F231" s="120"/>
      <c r="G231" s="136"/>
      <c r="H231" s="136"/>
      <c r="I231" s="120"/>
      <c r="J231" s="7" t="s">
        <v>913</v>
      </c>
      <c r="K231" s="7" t="s">
        <v>913</v>
      </c>
      <c r="L231" s="7" t="s">
        <v>913</v>
      </c>
      <c r="M231" s="7" t="s">
        <v>913</v>
      </c>
      <c r="N231" s="7" t="s">
        <v>913</v>
      </c>
      <c r="O231" s="7" t="s">
        <v>913</v>
      </c>
      <c r="P231" s="8">
        <f t="shared" si="14"/>
        <v>0</v>
      </c>
      <c r="Q231" s="18" t="s">
        <v>1022</v>
      </c>
      <c r="R231" s="18" t="s">
        <v>1022</v>
      </c>
    </row>
    <row r="232" spans="1:18" ht="94.5" x14ac:dyDescent="0.25">
      <c r="A232" s="136"/>
      <c r="B232" s="164"/>
      <c r="C232" s="9" t="s">
        <v>278</v>
      </c>
      <c r="D232" s="120"/>
      <c r="E232" s="120"/>
      <c r="F232" s="120"/>
      <c r="G232" s="136"/>
      <c r="H232" s="136"/>
      <c r="I232" s="120"/>
      <c r="J232" s="7" t="s">
        <v>913</v>
      </c>
      <c r="K232" s="7" t="s">
        <v>913</v>
      </c>
      <c r="L232" s="7" t="s">
        <v>913</v>
      </c>
      <c r="M232" s="7" t="s">
        <v>913</v>
      </c>
      <c r="N232" s="7" t="s">
        <v>913</v>
      </c>
      <c r="O232" s="7" t="s">
        <v>913</v>
      </c>
      <c r="P232" s="8">
        <f t="shared" si="14"/>
        <v>0</v>
      </c>
      <c r="Q232" s="18" t="s">
        <v>1022</v>
      </c>
      <c r="R232" s="18" t="s">
        <v>1022</v>
      </c>
    </row>
    <row r="233" spans="1:18" ht="135" x14ac:dyDescent="0.25">
      <c r="A233" s="136"/>
      <c r="B233" s="164"/>
      <c r="C233" s="9" t="s">
        <v>279</v>
      </c>
      <c r="D233" s="120"/>
      <c r="E233" s="120"/>
      <c r="F233" s="120"/>
      <c r="G233" s="136"/>
      <c r="H233" s="136"/>
      <c r="I233" s="120"/>
      <c r="J233" s="7" t="s">
        <v>913</v>
      </c>
      <c r="K233" s="7" t="s">
        <v>913</v>
      </c>
      <c r="L233" s="7" t="s">
        <v>913</v>
      </c>
      <c r="M233" s="7" t="s">
        <v>913</v>
      </c>
      <c r="N233" s="7" t="s">
        <v>913</v>
      </c>
      <c r="O233" s="7" t="s">
        <v>913</v>
      </c>
      <c r="P233" s="8">
        <f t="shared" si="14"/>
        <v>0</v>
      </c>
      <c r="Q233" s="18" t="s">
        <v>1022</v>
      </c>
      <c r="R233" s="18" t="s">
        <v>1022</v>
      </c>
    </row>
    <row r="234" spans="1:18" ht="121.5" x14ac:dyDescent="0.25">
      <c r="A234" s="136"/>
      <c r="B234" s="164"/>
      <c r="C234" s="9" t="s">
        <v>280</v>
      </c>
      <c r="D234" s="120"/>
      <c r="E234" s="120"/>
      <c r="F234" s="120"/>
      <c r="G234" s="136"/>
      <c r="H234" s="136"/>
      <c r="I234" s="120"/>
      <c r="J234" s="7" t="s">
        <v>913</v>
      </c>
      <c r="K234" s="7" t="s">
        <v>913</v>
      </c>
      <c r="L234" s="7" t="s">
        <v>913</v>
      </c>
      <c r="M234" s="7" t="s">
        <v>913</v>
      </c>
      <c r="N234" s="7" t="s">
        <v>913</v>
      </c>
      <c r="O234" s="7" t="s">
        <v>913</v>
      </c>
      <c r="P234" s="8">
        <f t="shared" si="14"/>
        <v>0</v>
      </c>
      <c r="Q234" s="18" t="s">
        <v>1022</v>
      </c>
      <c r="R234" s="18" t="s">
        <v>1022</v>
      </c>
    </row>
    <row r="235" spans="1:18" ht="108" x14ac:dyDescent="0.25">
      <c r="A235" s="136" t="s">
        <v>1068</v>
      </c>
      <c r="B235" s="120" t="s">
        <v>325</v>
      </c>
      <c r="C235" s="9" t="s">
        <v>327</v>
      </c>
      <c r="D235" s="120" t="s">
        <v>716</v>
      </c>
      <c r="E235" s="120" t="s">
        <v>331</v>
      </c>
      <c r="F235" s="120" t="s">
        <v>332</v>
      </c>
      <c r="G235" s="120">
        <v>0</v>
      </c>
      <c r="H235" s="120" t="s">
        <v>1257</v>
      </c>
      <c r="I235" s="120" t="s">
        <v>326</v>
      </c>
      <c r="J235" s="7" t="s">
        <v>913</v>
      </c>
      <c r="K235" s="7" t="s">
        <v>913</v>
      </c>
      <c r="L235" s="8">
        <f>40000*1.04</f>
        <v>41600</v>
      </c>
      <c r="M235" s="7" t="s">
        <v>913</v>
      </c>
      <c r="N235" s="7" t="s">
        <v>913</v>
      </c>
      <c r="O235" s="7" t="s">
        <v>913</v>
      </c>
      <c r="P235" s="8">
        <f t="shared" si="14"/>
        <v>41600</v>
      </c>
      <c r="Q235" s="18" t="s">
        <v>1021</v>
      </c>
      <c r="R235" s="9" t="s">
        <v>1211</v>
      </c>
    </row>
    <row r="236" spans="1:18" ht="94.5" x14ac:dyDescent="0.25">
      <c r="A236" s="136"/>
      <c r="B236" s="120"/>
      <c r="C236" s="9" t="s">
        <v>328</v>
      </c>
      <c r="D236" s="120"/>
      <c r="E236" s="120"/>
      <c r="F236" s="120"/>
      <c r="G236" s="120"/>
      <c r="H236" s="120"/>
      <c r="I236" s="120"/>
      <c r="J236" s="7" t="s">
        <v>913</v>
      </c>
      <c r="K236" s="7" t="s">
        <v>913</v>
      </c>
      <c r="L236" s="7" t="s">
        <v>913</v>
      </c>
      <c r="M236" s="7" t="s">
        <v>913</v>
      </c>
      <c r="N236" s="7" t="s">
        <v>913</v>
      </c>
      <c r="O236" s="7" t="s">
        <v>913</v>
      </c>
      <c r="P236" s="8">
        <f t="shared" si="14"/>
        <v>0</v>
      </c>
      <c r="Q236" s="18" t="s">
        <v>1093</v>
      </c>
      <c r="R236" s="18" t="s">
        <v>1093</v>
      </c>
    </row>
    <row r="237" spans="1:18" ht="108" x14ac:dyDescent="0.25">
      <c r="A237" s="136"/>
      <c r="B237" s="120"/>
      <c r="C237" s="9" t="s">
        <v>437</v>
      </c>
      <c r="D237" s="120"/>
      <c r="E237" s="120"/>
      <c r="F237" s="120"/>
      <c r="G237" s="120"/>
      <c r="H237" s="120"/>
      <c r="I237" s="120"/>
      <c r="J237" s="7" t="s">
        <v>913</v>
      </c>
      <c r="K237" s="7" t="s">
        <v>913</v>
      </c>
      <c r="L237" s="7" t="s">
        <v>913</v>
      </c>
      <c r="M237" s="7" t="s">
        <v>913</v>
      </c>
      <c r="N237" s="7" t="s">
        <v>913</v>
      </c>
      <c r="O237" s="7" t="s">
        <v>913</v>
      </c>
      <c r="P237" s="8">
        <f t="shared" si="14"/>
        <v>0</v>
      </c>
      <c r="Q237" s="18" t="s">
        <v>1093</v>
      </c>
      <c r="R237" s="18" t="s">
        <v>1093</v>
      </c>
    </row>
    <row r="238" spans="1:18" ht="94.5" x14ac:dyDescent="0.25">
      <c r="A238" s="136"/>
      <c r="B238" s="120"/>
      <c r="C238" s="9" t="s">
        <v>329</v>
      </c>
      <c r="D238" s="120"/>
      <c r="E238" s="120"/>
      <c r="F238" s="120"/>
      <c r="G238" s="120"/>
      <c r="H238" s="120"/>
      <c r="I238" s="120"/>
      <c r="J238" s="7" t="s">
        <v>913</v>
      </c>
      <c r="K238" s="7" t="s">
        <v>913</v>
      </c>
      <c r="L238" s="8">
        <f>30000*1.04*1.04</f>
        <v>32448</v>
      </c>
      <c r="M238" s="7" t="s">
        <v>913</v>
      </c>
      <c r="N238" s="7" t="s">
        <v>913</v>
      </c>
      <c r="O238" s="7" t="s">
        <v>913</v>
      </c>
      <c r="P238" s="8">
        <f t="shared" si="14"/>
        <v>32448</v>
      </c>
      <c r="Q238" s="18" t="s">
        <v>1021</v>
      </c>
      <c r="R238" s="9" t="s">
        <v>1211</v>
      </c>
    </row>
    <row r="239" spans="1:18" ht="135" x14ac:dyDescent="0.25">
      <c r="A239" s="136"/>
      <c r="B239" s="120"/>
      <c r="C239" s="9" t="s">
        <v>330</v>
      </c>
      <c r="D239" s="120"/>
      <c r="E239" s="120"/>
      <c r="F239" s="120"/>
      <c r="G239" s="120"/>
      <c r="H239" s="120"/>
      <c r="I239" s="120"/>
      <c r="J239" s="7" t="s">
        <v>913</v>
      </c>
      <c r="K239" s="7" t="s">
        <v>913</v>
      </c>
      <c r="L239" s="7" t="s">
        <v>913</v>
      </c>
      <c r="M239" s="7" t="s">
        <v>913</v>
      </c>
      <c r="N239" s="7" t="s">
        <v>913</v>
      </c>
      <c r="O239" s="7" t="s">
        <v>913</v>
      </c>
      <c r="P239" s="8">
        <f t="shared" si="14"/>
        <v>0</v>
      </c>
      <c r="Q239" s="18" t="s">
        <v>914</v>
      </c>
      <c r="R239" s="9" t="s">
        <v>1212</v>
      </c>
    </row>
    <row r="240" spans="1:18" ht="108" x14ac:dyDescent="0.25">
      <c r="A240" s="136"/>
      <c r="B240" s="120"/>
      <c r="C240" s="9" t="s">
        <v>438</v>
      </c>
      <c r="D240" s="120"/>
      <c r="E240" s="120"/>
      <c r="F240" s="120"/>
      <c r="G240" s="120"/>
      <c r="H240" s="120"/>
      <c r="I240" s="120"/>
      <c r="J240" s="7" t="s">
        <v>913</v>
      </c>
      <c r="K240" s="7" t="s">
        <v>913</v>
      </c>
      <c r="L240" s="7" t="s">
        <v>913</v>
      </c>
      <c r="M240" s="7" t="s">
        <v>913</v>
      </c>
      <c r="N240" s="7" t="s">
        <v>913</v>
      </c>
      <c r="O240" s="7" t="s">
        <v>913</v>
      </c>
      <c r="P240" s="8">
        <f t="shared" si="14"/>
        <v>0</v>
      </c>
      <c r="Q240" s="18" t="s">
        <v>914</v>
      </c>
      <c r="R240" s="9" t="s">
        <v>1212</v>
      </c>
    </row>
    <row r="241" spans="1:18" ht="67.5" x14ac:dyDescent="0.25">
      <c r="A241" s="136" t="s">
        <v>314</v>
      </c>
      <c r="B241" s="164" t="s">
        <v>350</v>
      </c>
      <c r="C241" s="9" t="s">
        <v>285</v>
      </c>
      <c r="D241" s="120" t="s">
        <v>717</v>
      </c>
      <c r="E241" s="120" t="s">
        <v>197</v>
      </c>
      <c r="F241" s="120" t="s">
        <v>286</v>
      </c>
      <c r="G241" s="136">
        <v>0</v>
      </c>
      <c r="H241" s="120" t="s">
        <v>1248</v>
      </c>
      <c r="I241" s="136" t="s">
        <v>46</v>
      </c>
      <c r="J241" s="7" t="s">
        <v>913</v>
      </c>
      <c r="K241" s="7" t="s">
        <v>913</v>
      </c>
      <c r="L241" s="7" t="s">
        <v>913</v>
      </c>
      <c r="M241" s="7" t="s">
        <v>913</v>
      </c>
      <c r="N241" s="7" t="s">
        <v>913</v>
      </c>
      <c r="O241" s="7" t="s">
        <v>913</v>
      </c>
      <c r="P241" s="8">
        <f t="shared" si="14"/>
        <v>0</v>
      </c>
      <c r="Q241" s="18" t="s">
        <v>914</v>
      </c>
      <c r="R241" s="9" t="s">
        <v>1212</v>
      </c>
    </row>
    <row r="242" spans="1:18" ht="67.5" x14ac:dyDescent="0.25">
      <c r="A242" s="136"/>
      <c r="B242" s="164"/>
      <c r="C242" s="9" t="s">
        <v>199</v>
      </c>
      <c r="D242" s="120"/>
      <c r="E242" s="120"/>
      <c r="F242" s="120"/>
      <c r="G242" s="136"/>
      <c r="H242" s="120"/>
      <c r="I242" s="136"/>
      <c r="J242" s="7" t="s">
        <v>913</v>
      </c>
      <c r="K242" s="7" t="s">
        <v>913</v>
      </c>
      <c r="L242" s="7" t="s">
        <v>913</v>
      </c>
      <c r="M242" s="7" t="s">
        <v>913</v>
      </c>
      <c r="N242" s="7" t="s">
        <v>913</v>
      </c>
      <c r="O242" s="7" t="s">
        <v>913</v>
      </c>
      <c r="P242" s="8">
        <f t="shared" si="14"/>
        <v>0</v>
      </c>
      <c r="Q242" s="18" t="s">
        <v>914</v>
      </c>
      <c r="R242" s="9" t="s">
        <v>1212</v>
      </c>
    </row>
    <row r="243" spans="1:18" ht="67.5" x14ac:dyDescent="0.25">
      <c r="A243" s="136" t="s">
        <v>315</v>
      </c>
      <c r="B243" s="164" t="s">
        <v>1023</v>
      </c>
      <c r="C243" s="9" t="s">
        <v>287</v>
      </c>
      <c r="D243" s="120" t="s">
        <v>718</v>
      </c>
      <c r="E243" s="164" t="s">
        <v>197</v>
      </c>
      <c r="F243" s="164" t="s">
        <v>288</v>
      </c>
      <c r="G243" s="164">
        <v>0</v>
      </c>
      <c r="H243" s="164" t="s">
        <v>1248</v>
      </c>
      <c r="I243" s="164" t="s">
        <v>46</v>
      </c>
      <c r="J243" s="7" t="s">
        <v>913</v>
      </c>
      <c r="K243" s="7" t="s">
        <v>913</v>
      </c>
      <c r="L243" s="7" t="s">
        <v>913</v>
      </c>
      <c r="M243" s="7" t="s">
        <v>913</v>
      </c>
      <c r="N243" s="7" t="s">
        <v>913</v>
      </c>
      <c r="O243" s="7" t="s">
        <v>913</v>
      </c>
      <c r="P243" s="8">
        <f t="shared" si="14"/>
        <v>0</v>
      </c>
      <c r="Q243" s="18" t="s">
        <v>914</v>
      </c>
      <c r="R243" s="9" t="s">
        <v>1212</v>
      </c>
    </row>
    <row r="244" spans="1:18" ht="67.5" x14ac:dyDescent="0.25">
      <c r="A244" s="136"/>
      <c r="B244" s="164"/>
      <c r="C244" s="9" t="s">
        <v>199</v>
      </c>
      <c r="D244" s="120"/>
      <c r="E244" s="164"/>
      <c r="F244" s="164"/>
      <c r="G244" s="164"/>
      <c r="H244" s="164"/>
      <c r="I244" s="164"/>
      <c r="J244" s="7" t="s">
        <v>913</v>
      </c>
      <c r="K244" s="7" t="s">
        <v>913</v>
      </c>
      <c r="L244" s="7" t="s">
        <v>913</v>
      </c>
      <c r="M244" s="7" t="s">
        <v>913</v>
      </c>
      <c r="N244" s="7" t="s">
        <v>913</v>
      </c>
      <c r="O244" s="7" t="s">
        <v>913</v>
      </c>
      <c r="P244" s="8">
        <f t="shared" si="14"/>
        <v>0</v>
      </c>
      <c r="Q244" s="18" t="s">
        <v>914</v>
      </c>
      <c r="R244" s="9" t="s">
        <v>1212</v>
      </c>
    </row>
    <row r="245" spans="1:18" ht="81" x14ac:dyDescent="0.25">
      <c r="A245" s="164" t="s">
        <v>675</v>
      </c>
      <c r="B245" s="164" t="s">
        <v>289</v>
      </c>
      <c r="C245" s="9" t="s">
        <v>291</v>
      </c>
      <c r="D245" s="164" t="s">
        <v>719</v>
      </c>
      <c r="E245" s="164" t="s">
        <v>290</v>
      </c>
      <c r="F245" s="164" t="s">
        <v>1025</v>
      </c>
      <c r="G245" s="183">
        <v>0.2</v>
      </c>
      <c r="H245" s="164" t="s">
        <v>1230</v>
      </c>
      <c r="I245" s="164" t="s">
        <v>46</v>
      </c>
      <c r="J245" s="7" t="s">
        <v>913</v>
      </c>
      <c r="K245" s="7" t="s">
        <v>913</v>
      </c>
      <c r="L245" s="8">
        <f>45000*1.04</f>
        <v>46800</v>
      </c>
      <c r="M245" s="7" t="s">
        <v>913</v>
      </c>
      <c r="N245" s="7" t="s">
        <v>913</v>
      </c>
      <c r="O245" s="7" t="s">
        <v>913</v>
      </c>
      <c r="P245" s="8">
        <f t="shared" si="14"/>
        <v>46800</v>
      </c>
      <c r="Q245" s="18" t="s">
        <v>1021</v>
      </c>
      <c r="R245" s="9" t="s">
        <v>1211</v>
      </c>
    </row>
    <row r="246" spans="1:18" ht="40.5" x14ac:dyDescent="0.25">
      <c r="A246" s="164"/>
      <c r="B246" s="164"/>
      <c r="C246" s="9" t="s">
        <v>292</v>
      </c>
      <c r="D246" s="164"/>
      <c r="E246" s="164"/>
      <c r="F246" s="164"/>
      <c r="G246" s="164"/>
      <c r="H246" s="164"/>
      <c r="I246" s="164"/>
      <c r="J246" s="7" t="s">
        <v>913</v>
      </c>
      <c r="K246" s="7" t="s">
        <v>913</v>
      </c>
      <c r="L246" s="7" t="s">
        <v>913</v>
      </c>
      <c r="M246" s="7" t="s">
        <v>913</v>
      </c>
      <c r="N246" s="7" t="s">
        <v>913</v>
      </c>
      <c r="O246" s="7" t="s">
        <v>913</v>
      </c>
      <c r="P246" s="8">
        <f t="shared" si="14"/>
        <v>0</v>
      </c>
      <c r="Q246" s="18" t="s">
        <v>914</v>
      </c>
      <c r="R246" s="9" t="s">
        <v>1212</v>
      </c>
    </row>
    <row r="247" spans="1:18" ht="40.5" x14ac:dyDescent="0.25">
      <c r="A247" s="164"/>
      <c r="B247" s="164"/>
      <c r="C247" s="9" t="s">
        <v>293</v>
      </c>
      <c r="D247" s="164"/>
      <c r="E247" s="164"/>
      <c r="F247" s="164"/>
      <c r="G247" s="164"/>
      <c r="H247" s="164"/>
      <c r="I247" s="164"/>
      <c r="J247" s="7" t="s">
        <v>913</v>
      </c>
      <c r="K247" s="7" t="s">
        <v>913</v>
      </c>
      <c r="L247" s="7" t="s">
        <v>913</v>
      </c>
      <c r="M247" s="7" t="s">
        <v>913</v>
      </c>
      <c r="N247" s="7" t="s">
        <v>913</v>
      </c>
      <c r="O247" s="7" t="s">
        <v>913</v>
      </c>
      <c r="P247" s="8">
        <f t="shared" si="14"/>
        <v>0</v>
      </c>
      <c r="Q247" s="18" t="s">
        <v>914</v>
      </c>
      <c r="R247" s="9" t="s">
        <v>1212</v>
      </c>
    </row>
    <row r="248" spans="1:18" ht="67.5" x14ac:dyDescent="0.25">
      <c r="A248" s="164"/>
      <c r="B248" s="164"/>
      <c r="C248" s="9" t="s">
        <v>294</v>
      </c>
      <c r="D248" s="164"/>
      <c r="E248" s="164"/>
      <c r="F248" s="164"/>
      <c r="G248" s="164"/>
      <c r="H248" s="164"/>
      <c r="I248" s="164"/>
      <c r="J248" s="7" t="s">
        <v>913</v>
      </c>
      <c r="K248" s="7" t="s">
        <v>913</v>
      </c>
      <c r="L248" s="16">
        <f>5000*1.04*1.04</f>
        <v>5408</v>
      </c>
      <c r="M248" s="7" t="s">
        <v>913</v>
      </c>
      <c r="N248" s="7" t="s">
        <v>913</v>
      </c>
      <c r="O248" s="7" t="s">
        <v>913</v>
      </c>
      <c r="P248" s="8">
        <f t="shared" si="14"/>
        <v>5408</v>
      </c>
      <c r="Q248" s="18" t="s">
        <v>1021</v>
      </c>
      <c r="R248" s="9" t="s">
        <v>1211</v>
      </c>
    </row>
    <row r="249" spans="1:18" ht="94.5" x14ac:dyDescent="0.25">
      <c r="A249" s="164"/>
      <c r="B249" s="164"/>
      <c r="C249" s="9" t="s">
        <v>435</v>
      </c>
      <c r="D249" s="164"/>
      <c r="E249" s="164"/>
      <c r="F249" s="164"/>
      <c r="G249" s="164"/>
      <c r="H249" s="164"/>
      <c r="I249" s="164"/>
      <c r="J249" s="7" t="s">
        <v>913</v>
      </c>
      <c r="K249" s="7" t="s">
        <v>913</v>
      </c>
      <c r="L249" s="16">
        <f>110000*1.04*1.04</f>
        <v>118976</v>
      </c>
      <c r="M249" s="7" t="s">
        <v>913</v>
      </c>
      <c r="N249" s="7" t="s">
        <v>913</v>
      </c>
      <c r="O249" s="7" t="s">
        <v>913</v>
      </c>
      <c r="P249" s="8">
        <f t="shared" si="14"/>
        <v>118976</v>
      </c>
      <c r="Q249" s="18" t="s">
        <v>1024</v>
      </c>
      <c r="R249" s="9" t="s">
        <v>1211</v>
      </c>
    </row>
    <row r="250" spans="1:18" ht="40.5" x14ac:dyDescent="0.25">
      <c r="A250" s="164"/>
      <c r="B250" s="164"/>
      <c r="C250" s="9" t="s">
        <v>635</v>
      </c>
      <c r="D250" s="164"/>
      <c r="E250" s="164"/>
      <c r="F250" s="164"/>
      <c r="G250" s="164"/>
      <c r="H250" s="164"/>
      <c r="I250" s="164"/>
      <c r="J250" s="7" t="s">
        <v>913</v>
      </c>
      <c r="K250" s="7" t="s">
        <v>913</v>
      </c>
      <c r="L250" s="16" t="s">
        <v>913</v>
      </c>
      <c r="M250" s="7" t="s">
        <v>913</v>
      </c>
      <c r="N250" s="7" t="s">
        <v>913</v>
      </c>
      <c r="O250" s="7" t="s">
        <v>913</v>
      </c>
      <c r="P250" s="8">
        <f t="shared" si="14"/>
        <v>0</v>
      </c>
      <c r="Q250" s="18" t="s">
        <v>914</v>
      </c>
      <c r="R250" s="9" t="s">
        <v>1212</v>
      </c>
    </row>
    <row r="251" spans="1:18" ht="27" x14ac:dyDescent="0.25">
      <c r="A251" s="164"/>
      <c r="B251" s="164"/>
      <c r="C251" s="9" t="s">
        <v>295</v>
      </c>
      <c r="D251" s="164"/>
      <c r="E251" s="164"/>
      <c r="F251" s="164"/>
      <c r="G251" s="164"/>
      <c r="H251" s="164"/>
      <c r="I251" s="164"/>
      <c r="J251" s="7" t="s">
        <v>913</v>
      </c>
      <c r="K251" s="7" t="s">
        <v>913</v>
      </c>
      <c r="L251" s="16" t="s">
        <v>913</v>
      </c>
      <c r="M251" s="7" t="s">
        <v>913</v>
      </c>
      <c r="N251" s="7" t="s">
        <v>913</v>
      </c>
      <c r="O251" s="7" t="s">
        <v>913</v>
      </c>
      <c r="P251" s="8">
        <f t="shared" si="14"/>
        <v>0</v>
      </c>
      <c r="Q251" s="18" t="s">
        <v>914</v>
      </c>
      <c r="R251" s="9" t="s">
        <v>1212</v>
      </c>
    </row>
    <row r="252" spans="1:18" ht="54" x14ac:dyDescent="0.25">
      <c r="A252" s="164"/>
      <c r="B252" s="164"/>
      <c r="C252" s="9" t="s">
        <v>100</v>
      </c>
      <c r="D252" s="164"/>
      <c r="E252" s="164"/>
      <c r="F252" s="164"/>
      <c r="G252" s="164"/>
      <c r="H252" s="164"/>
      <c r="I252" s="164"/>
      <c r="J252" s="7" t="s">
        <v>913</v>
      </c>
      <c r="K252" s="7" t="s">
        <v>913</v>
      </c>
      <c r="L252" s="16" t="s">
        <v>913</v>
      </c>
      <c r="M252" s="23">
        <f>+(110000)*1.04*1.04</f>
        <v>118976</v>
      </c>
      <c r="N252" s="23">
        <f>+M252*1.04</f>
        <v>123735.04000000001</v>
      </c>
      <c r="O252" s="24" t="s">
        <v>913</v>
      </c>
      <c r="P252" s="8">
        <f t="shared" si="14"/>
        <v>242711.04000000001</v>
      </c>
      <c r="Q252" s="19" t="s">
        <v>923</v>
      </c>
      <c r="R252" s="9" t="s">
        <v>1211</v>
      </c>
    </row>
    <row r="253" spans="1:18" ht="40.5" x14ac:dyDescent="0.25">
      <c r="A253" s="164"/>
      <c r="B253" s="164"/>
      <c r="C253" s="9" t="s">
        <v>296</v>
      </c>
      <c r="D253" s="164"/>
      <c r="E253" s="164"/>
      <c r="F253" s="164"/>
      <c r="G253" s="164"/>
      <c r="H253" s="164"/>
      <c r="I253" s="164"/>
      <c r="J253" s="7" t="s">
        <v>913</v>
      </c>
      <c r="K253" s="7" t="s">
        <v>913</v>
      </c>
      <c r="L253" s="16" t="s">
        <v>913</v>
      </c>
      <c r="M253" s="7" t="s">
        <v>913</v>
      </c>
      <c r="N253" s="7" t="s">
        <v>913</v>
      </c>
      <c r="O253" s="7" t="s">
        <v>913</v>
      </c>
      <c r="P253" s="8">
        <f t="shared" si="14"/>
        <v>0</v>
      </c>
      <c r="Q253" s="19" t="s">
        <v>1094</v>
      </c>
      <c r="R253" s="19" t="s">
        <v>1094</v>
      </c>
    </row>
    <row r="254" spans="1:18" ht="40.5" x14ac:dyDescent="0.25">
      <c r="A254" s="164"/>
      <c r="B254" s="164"/>
      <c r="C254" s="9" t="s">
        <v>297</v>
      </c>
      <c r="D254" s="164"/>
      <c r="E254" s="164"/>
      <c r="F254" s="164"/>
      <c r="G254" s="164"/>
      <c r="H254" s="164"/>
      <c r="I254" s="164"/>
      <c r="J254" s="7" t="s">
        <v>913</v>
      </c>
      <c r="K254" s="7" t="s">
        <v>913</v>
      </c>
      <c r="L254" s="16" t="s">
        <v>913</v>
      </c>
      <c r="M254" s="7" t="s">
        <v>913</v>
      </c>
      <c r="N254" s="7" t="s">
        <v>913</v>
      </c>
      <c r="O254" s="7" t="s">
        <v>913</v>
      </c>
      <c r="P254" s="8">
        <f t="shared" si="14"/>
        <v>0</v>
      </c>
      <c r="Q254" s="19" t="s">
        <v>1094</v>
      </c>
      <c r="R254" s="19" t="s">
        <v>1094</v>
      </c>
    </row>
    <row r="255" spans="1:18" x14ac:dyDescent="0.25">
      <c r="A255" s="191" t="s">
        <v>303</v>
      </c>
      <c r="B255" s="192"/>
      <c r="C255" s="192"/>
      <c r="D255" s="192"/>
      <c r="E255" s="192"/>
      <c r="F255" s="192"/>
      <c r="G255" s="192"/>
      <c r="H255" s="192"/>
      <c r="I255" s="193"/>
      <c r="J255" s="77"/>
      <c r="K255" s="77"/>
      <c r="L255" s="77"/>
      <c r="M255" s="77"/>
      <c r="N255" s="77"/>
      <c r="O255" s="77"/>
      <c r="P255" s="78">
        <f>SUM(P230:P254)</f>
        <v>556895.04</v>
      </c>
      <c r="Q255" s="77"/>
      <c r="R255" s="79"/>
    </row>
    <row r="256" spans="1:18" ht="14.25" x14ac:dyDescent="0.25">
      <c r="A256" s="169" t="s">
        <v>16</v>
      </c>
      <c r="B256" s="170"/>
      <c r="C256" s="170"/>
      <c r="D256" s="170"/>
      <c r="E256" s="170"/>
      <c r="F256" s="170"/>
      <c r="G256" s="170"/>
      <c r="H256" s="170"/>
      <c r="I256" s="171"/>
      <c r="J256" s="80"/>
      <c r="K256" s="80"/>
      <c r="L256" s="80"/>
      <c r="M256" s="80"/>
      <c r="N256" s="80"/>
      <c r="O256" s="80"/>
      <c r="P256" s="80"/>
      <c r="Q256" s="80"/>
      <c r="R256" s="81"/>
    </row>
    <row r="257" spans="1:18" ht="81" x14ac:dyDescent="0.25">
      <c r="A257" s="136" t="s">
        <v>316</v>
      </c>
      <c r="B257" s="164" t="s">
        <v>902</v>
      </c>
      <c r="C257" s="9" t="s">
        <v>366</v>
      </c>
      <c r="D257" s="164" t="s">
        <v>720</v>
      </c>
      <c r="E257" s="164" t="s">
        <v>911</v>
      </c>
      <c r="F257" s="164" t="s">
        <v>912</v>
      </c>
      <c r="G257" s="164">
        <v>0</v>
      </c>
      <c r="H257" s="164" t="s">
        <v>1256</v>
      </c>
      <c r="I257" s="164" t="s">
        <v>46</v>
      </c>
      <c r="J257" s="7" t="s">
        <v>913</v>
      </c>
      <c r="K257" s="25">
        <v>16200</v>
      </c>
      <c r="L257" s="7" t="s">
        <v>913</v>
      </c>
      <c r="M257" s="7" t="s">
        <v>913</v>
      </c>
      <c r="N257" s="7" t="s">
        <v>913</v>
      </c>
      <c r="O257" s="7" t="s">
        <v>913</v>
      </c>
      <c r="P257" s="8">
        <f t="shared" ref="P257:P271" si="15">SUM(J257:O257)</f>
        <v>16200</v>
      </c>
      <c r="Q257" s="18" t="s">
        <v>1021</v>
      </c>
      <c r="R257" s="9" t="s">
        <v>1211</v>
      </c>
    </row>
    <row r="258" spans="1:18" ht="54" x14ac:dyDescent="0.25">
      <c r="A258" s="136"/>
      <c r="B258" s="164"/>
      <c r="C258" s="9" t="s">
        <v>334</v>
      </c>
      <c r="D258" s="164"/>
      <c r="E258" s="164"/>
      <c r="F258" s="164"/>
      <c r="G258" s="164"/>
      <c r="H258" s="164"/>
      <c r="I258" s="164"/>
      <c r="J258" s="7" t="s">
        <v>913</v>
      </c>
      <c r="K258" s="26">
        <v>148800</v>
      </c>
      <c r="L258" s="7" t="s">
        <v>913</v>
      </c>
      <c r="M258" s="7" t="s">
        <v>913</v>
      </c>
      <c r="N258" s="7" t="s">
        <v>913</v>
      </c>
      <c r="O258" s="7" t="s">
        <v>913</v>
      </c>
      <c r="P258" s="8">
        <f t="shared" si="15"/>
        <v>148800</v>
      </c>
      <c r="Q258" s="18" t="s">
        <v>1021</v>
      </c>
      <c r="R258" s="9" t="s">
        <v>1211</v>
      </c>
    </row>
    <row r="259" spans="1:18" ht="130.15" customHeight="1" x14ac:dyDescent="0.25">
      <c r="A259" s="136"/>
      <c r="B259" s="164"/>
      <c r="C259" s="118" t="s">
        <v>333</v>
      </c>
      <c r="D259" s="164"/>
      <c r="E259" s="164"/>
      <c r="F259" s="164"/>
      <c r="G259" s="164"/>
      <c r="H259" s="164"/>
      <c r="I259" s="164"/>
      <c r="J259" s="127" t="s">
        <v>913</v>
      </c>
      <c r="K259" s="132">
        <v>32200</v>
      </c>
      <c r="L259" s="127" t="s">
        <v>913</v>
      </c>
      <c r="M259" s="127" t="s">
        <v>913</v>
      </c>
      <c r="N259" s="127" t="s">
        <v>913</v>
      </c>
      <c r="O259" s="127" t="s">
        <v>913</v>
      </c>
      <c r="P259" s="129">
        <f t="shared" si="15"/>
        <v>32200</v>
      </c>
      <c r="Q259" s="124" t="s">
        <v>1021</v>
      </c>
      <c r="R259" s="118" t="s">
        <v>1211</v>
      </c>
    </row>
    <row r="260" spans="1:18" x14ac:dyDescent="0.25">
      <c r="A260" s="136"/>
      <c r="B260" s="164"/>
      <c r="C260" s="121"/>
      <c r="D260" s="164"/>
      <c r="E260" s="164"/>
      <c r="F260" s="164"/>
      <c r="G260" s="164"/>
      <c r="H260" s="164"/>
      <c r="I260" s="164"/>
      <c r="J260" s="131"/>
      <c r="K260" s="133"/>
      <c r="L260" s="131"/>
      <c r="M260" s="131"/>
      <c r="N260" s="131"/>
      <c r="O260" s="131"/>
      <c r="P260" s="135"/>
      <c r="Q260" s="125"/>
      <c r="R260" s="121"/>
    </row>
    <row r="261" spans="1:18" x14ac:dyDescent="0.25">
      <c r="A261" s="136"/>
      <c r="B261" s="164"/>
      <c r="C261" s="121"/>
      <c r="D261" s="164"/>
      <c r="E261" s="164"/>
      <c r="F261" s="164"/>
      <c r="G261" s="164"/>
      <c r="H261" s="164"/>
      <c r="I261" s="164"/>
      <c r="J261" s="131"/>
      <c r="K261" s="133"/>
      <c r="L261" s="131"/>
      <c r="M261" s="131"/>
      <c r="N261" s="131"/>
      <c r="O261" s="131"/>
      <c r="P261" s="135"/>
      <c r="Q261" s="125"/>
      <c r="R261" s="121"/>
    </row>
    <row r="262" spans="1:18" x14ac:dyDescent="0.25">
      <c r="A262" s="136"/>
      <c r="B262" s="164"/>
      <c r="C262" s="119"/>
      <c r="D262" s="164"/>
      <c r="E262" s="164"/>
      <c r="F262" s="164"/>
      <c r="G262" s="164"/>
      <c r="H262" s="164"/>
      <c r="I262" s="164"/>
      <c r="J262" s="128"/>
      <c r="K262" s="134"/>
      <c r="L262" s="128"/>
      <c r="M262" s="128"/>
      <c r="N262" s="128"/>
      <c r="O262" s="128"/>
      <c r="P262" s="130"/>
      <c r="Q262" s="126"/>
      <c r="R262" s="119"/>
    </row>
    <row r="263" spans="1:18" ht="409.5" customHeight="1" x14ac:dyDescent="0.25">
      <c r="A263" s="136"/>
      <c r="B263" s="164"/>
      <c r="C263" s="9" t="s">
        <v>1207</v>
      </c>
      <c r="D263" s="164"/>
      <c r="E263" s="164"/>
      <c r="F263" s="164"/>
      <c r="G263" s="164"/>
      <c r="H263" s="164"/>
      <c r="I263" s="164"/>
      <c r="J263" s="16">
        <v>1650000</v>
      </c>
      <c r="K263" s="16">
        <v>13500000</v>
      </c>
      <c r="L263" s="16">
        <v>13850000</v>
      </c>
      <c r="M263" s="16">
        <v>5000000</v>
      </c>
      <c r="N263" s="11"/>
      <c r="O263" s="7"/>
      <c r="P263" s="8">
        <f t="shared" si="15"/>
        <v>34000000</v>
      </c>
      <c r="Q263" s="18" t="s">
        <v>1021</v>
      </c>
      <c r="R263" s="9" t="s">
        <v>1211</v>
      </c>
    </row>
    <row r="264" spans="1:18" ht="81" x14ac:dyDescent="0.25">
      <c r="A264" s="136" t="s">
        <v>676</v>
      </c>
      <c r="B264" s="164" t="s">
        <v>1122</v>
      </c>
      <c r="C264" s="9" t="s">
        <v>298</v>
      </c>
      <c r="D264" s="164" t="s">
        <v>721</v>
      </c>
      <c r="E264" s="164" t="s">
        <v>301</v>
      </c>
      <c r="F264" s="164" t="s">
        <v>302</v>
      </c>
      <c r="G264" s="164">
        <v>0</v>
      </c>
      <c r="H264" s="164" t="s">
        <v>1245</v>
      </c>
      <c r="I264" s="172" t="s">
        <v>1379</v>
      </c>
      <c r="J264" s="7" t="s">
        <v>913</v>
      </c>
      <c r="K264" s="7" t="s">
        <v>913</v>
      </c>
      <c r="L264" s="16">
        <f>40000*1.04</f>
        <v>41600</v>
      </c>
      <c r="M264" s="7" t="s">
        <v>913</v>
      </c>
      <c r="N264" s="7" t="s">
        <v>913</v>
      </c>
      <c r="O264" s="7" t="s">
        <v>913</v>
      </c>
      <c r="P264" s="8">
        <f t="shared" si="15"/>
        <v>41600</v>
      </c>
      <c r="Q264" s="18" t="s">
        <v>1021</v>
      </c>
      <c r="R264" s="9" t="s">
        <v>1211</v>
      </c>
    </row>
    <row r="265" spans="1:18" ht="40.5" x14ac:dyDescent="0.25">
      <c r="A265" s="136"/>
      <c r="B265" s="164"/>
      <c r="C265" s="9" t="s">
        <v>299</v>
      </c>
      <c r="D265" s="164"/>
      <c r="E265" s="164"/>
      <c r="F265" s="164"/>
      <c r="G265" s="164"/>
      <c r="H265" s="164"/>
      <c r="I265" s="164"/>
      <c r="J265" s="7" t="s">
        <v>913</v>
      </c>
      <c r="K265" s="8" t="s">
        <v>913</v>
      </c>
      <c r="L265" s="16" t="s">
        <v>913</v>
      </c>
      <c r="M265" s="7" t="s">
        <v>913</v>
      </c>
      <c r="N265" s="7" t="s">
        <v>913</v>
      </c>
      <c r="O265" s="7" t="s">
        <v>913</v>
      </c>
      <c r="P265" s="8">
        <f t="shared" si="15"/>
        <v>0</v>
      </c>
      <c r="Q265" s="19" t="s">
        <v>1026</v>
      </c>
      <c r="R265" s="19" t="s">
        <v>1026</v>
      </c>
    </row>
    <row r="266" spans="1:18" ht="54" x14ac:dyDescent="0.25">
      <c r="A266" s="136"/>
      <c r="B266" s="164"/>
      <c r="C266" s="9" t="s">
        <v>300</v>
      </c>
      <c r="D266" s="164"/>
      <c r="E266" s="164"/>
      <c r="F266" s="164"/>
      <c r="G266" s="164"/>
      <c r="H266" s="164"/>
      <c r="I266" s="164"/>
      <c r="J266" s="7" t="s">
        <v>913</v>
      </c>
      <c r="K266" s="8" t="s">
        <v>913</v>
      </c>
      <c r="L266" s="8" t="s">
        <v>913</v>
      </c>
      <c r="M266" s="7" t="s">
        <v>913</v>
      </c>
      <c r="N266" s="7" t="s">
        <v>913</v>
      </c>
      <c r="O266" s="7" t="s">
        <v>913</v>
      </c>
      <c r="P266" s="8">
        <f t="shared" si="15"/>
        <v>0</v>
      </c>
      <c r="Q266" s="18" t="s">
        <v>1026</v>
      </c>
      <c r="R266" s="18" t="s">
        <v>1026</v>
      </c>
    </row>
    <row r="267" spans="1:18" ht="81" x14ac:dyDescent="0.25">
      <c r="A267" s="136"/>
      <c r="B267" s="164"/>
      <c r="C267" s="9" t="s">
        <v>282</v>
      </c>
      <c r="D267" s="164"/>
      <c r="E267" s="164"/>
      <c r="F267" s="164"/>
      <c r="G267" s="164"/>
      <c r="H267" s="164"/>
      <c r="I267" s="164"/>
      <c r="J267" s="7" t="s">
        <v>913</v>
      </c>
      <c r="K267" s="8" t="s">
        <v>913</v>
      </c>
      <c r="L267" s="8" t="s">
        <v>913</v>
      </c>
      <c r="M267" s="7" t="s">
        <v>913</v>
      </c>
      <c r="N267" s="7" t="s">
        <v>913</v>
      </c>
      <c r="O267" s="7" t="s">
        <v>913</v>
      </c>
      <c r="P267" s="8">
        <f t="shared" si="15"/>
        <v>0</v>
      </c>
      <c r="Q267" s="18" t="s">
        <v>1026</v>
      </c>
      <c r="R267" s="18" t="s">
        <v>1026</v>
      </c>
    </row>
    <row r="268" spans="1:18" ht="81" x14ac:dyDescent="0.25">
      <c r="A268" s="136"/>
      <c r="B268" s="164"/>
      <c r="C268" s="9" t="s">
        <v>283</v>
      </c>
      <c r="D268" s="164"/>
      <c r="E268" s="164"/>
      <c r="F268" s="164"/>
      <c r="G268" s="164"/>
      <c r="H268" s="164"/>
      <c r="I268" s="164"/>
      <c r="J268" s="7" t="s">
        <v>913</v>
      </c>
      <c r="K268" s="8" t="s">
        <v>913</v>
      </c>
      <c r="L268" s="16">
        <f>30000*1.04*1.04</f>
        <v>32448</v>
      </c>
      <c r="M268" s="7" t="s">
        <v>913</v>
      </c>
      <c r="N268" s="7" t="s">
        <v>913</v>
      </c>
      <c r="O268" s="7" t="s">
        <v>913</v>
      </c>
      <c r="P268" s="8">
        <f t="shared" si="15"/>
        <v>32448</v>
      </c>
      <c r="Q268" s="18" t="s">
        <v>1021</v>
      </c>
      <c r="R268" s="9" t="s">
        <v>1211</v>
      </c>
    </row>
    <row r="269" spans="1:18" ht="67.5" x14ac:dyDescent="0.25">
      <c r="A269" s="136"/>
      <c r="B269" s="164"/>
      <c r="C269" s="9" t="s">
        <v>284</v>
      </c>
      <c r="D269" s="164"/>
      <c r="E269" s="164"/>
      <c r="F269" s="164"/>
      <c r="G269" s="164"/>
      <c r="H269" s="164"/>
      <c r="I269" s="164"/>
      <c r="J269" s="7" t="s">
        <v>913</v>
      </c>
      <c r="K269" s="8" t="s">
        <v>913</v>
      </c>
      <c r="L269" s="8" t="s">
        <v>913</v>
      </c>
      <c r="M269" s="7" t="s">
        <v>913</v>
      </c>
      <c r="N269" s="7" t="s">
        <v>913</v>
      </c>
      <c r="O269" s="7" t="s">
        <v>913</v>
      </c>
      <c r="P269" s="8">
        <f t="shared" si="15"/>
        <v>0</v>
      </c>
      <c r="Q269" s="18" t="s">
        <v>914</v>
      </c>
      <c r="R269" s="9" t="s">
        <v>1212</v>
      </c>
    </row>
    <row r="270" spans="1:18" ht="40.5" x14ac:dyDescent="0.25">
      <c r="A270" s="120" t="s">
        <v>317</v>
      </c>
      <c r="B270" s="120" t="s">
        <v>1226</v>
      </c>
      <c r="C270" s="9" t="s">
        <v>346</v>
      </c>
      <c r="D270" s="177" t="s">
        <v>1228</v>
      </c>
      <c r="E270" s="177" t="s">
        <v>1191</v>
      </c>
      <c r="F270" s="177" t="s">
        <v>200</v>
      </c>
      <c r="G270" s="120">
        <v>0</v>
      </c>
      <c r="H270" s="120" t="s">
        <v>1255</v>
      </c>
      <c r="I270" s="136" t="s">
        <v>46</v>
      </c>
      <c r="J270" s="7" t="s">
        <v>913</v>
      </c>
      <c r="K270" s="8" t="s">
        <v>913</v>
      </c>
      <c r="L270" s="8" t="s">
        <v>913</v>
      </c>
      <c r="M270" s="7" t="s">
        <v>913</v>
      </c>
      <c r="N270" s="7" t="s">
        <v>913</v>
      </c>
      <c r="O270" s="7" t="s">
        <v>913</v>
      </c>
      <c r="P270" s="8">
        <f t="shared" si="15"/>
        <v>0</v>
      </c>
      <c r="Q270" s="18" t="s">
        <v>914</v>
      </c>
      <c r="R270" s="9" t="s">
        <v>1212</v>
      </c>
    </row>
    <row r="271" spans="1:18" ht="151.9" customHeight="1" x14ac:dyDescent="0.25">
      <c r="A271" s="120"/>
      <c r="B271" s="120"/>
      <c r="C271" s="9" t="s">
        <v>1227</v>
      </c>
      <c r="D271" s="177"/>
      <c r="E271" s="177"/>
      <c r="F271" s="177"/>
      <c r="G271" s="120"/>
      <c r="H271" s="136"/>
      <c r="I271" s="136"/>
      <c r="J271" s="7" t="s">
        <v>913</v>
      </c>
      <c r="K271" s="8" t="s">
        <v>913</v>
      </c>
      <c r="L271" s="8">
        <v>160000</v>
      </c>
      <c r="M271" s="7" t="s">
        <v>913</v>
      </c>
      <c r="N271" s="7" t="s">
        <v>913</v>
      </c>
      <c r="O271" s="7" t="s">
        <v>913</v>
      </c>
      <c r="P271" s="8">
        <f t="shared" si="15"/>
        <v>160000</v>
      </c>
      <c r="Q271" s="27" t="s">
        <v>923</v>
      </c>
      <c r="R271" s="9" t="s">
        <v>1211</v>
      </c>
    </row>
    <row r="272" spans="1:18" x14ac:dyDescent="0.25">
      <c r="A272" s="142" t="s">
        <v>874</v>
      </c>
      <c r="B272" s="143"/>
      <c r="C272" s="143"/>
      <c r="D272" s="143"/>
      <c r="E272" s="143"/>
      <c r="F272" s="143"/>
      <c r="G272" s="143"/>
      <c r="H272" s="143"/>
      <c r="I272" s="144"/>
      <c r="J272" s="77"/>
      <c r="K272" s="77"/>
      <c r="L272" s="77"/>
      <c r="M272" s="77"/>
      <c r="N272" s="77"/>
      <c r="O272" s="77"/>
      <c r="P272" s="78">
        <f>SUM(P257:P271)</f>
        <v>34431248</v>
      </c>
      <c r="Q272" s="77"/>
      <c r="R272" s="79"/>
    </row>
    <row r="273" spans="1:18" ht="14.25" x14ac:dyDescent="0.25">
      <c r="A273" s="169" t="s">
        <v>347</v>
      </c>
      <c r="B273" s="170"/>
      <c r="C273" s="170"/>
      <c r="D273" s="170"/>
      <c r="E273" s="170"/>
      <c r="F273" s="170"/>
      <c r="G273" s="170"/>
      <c r="H273" s="170"/>
      <c r="I273" s="171"/>
      <c r="J273" s="80"/>
      <c r="K273" s="80"/>
      <c r="L273" s="80"/>
      <c r="M273" s="80"/>
      <c r="N273" s="80"/>
      <c r="O273" s="80"/>
      <c r="P273" s="80"/>
      <c r="Q273" s="80"/>
      <c r="R273" s="81"/>
    </row>
    <row r="274" spans="1:18" ht="122.1" customHeight="1" x14ac:dyDescent="0.25">
      <c r="A274" s="136" t="s">
        <v>318</v>
      </c>
      <c r="B274" s="120" t="s">
        <v>440</v>
      </c>
      <c r="C274" s="9" t="s">
        <v>337</v>
      </c>
      <c r="D274" s="120" t="s">
        <v>722</v>
      </c>
      <c r="E274" s="120" t="s">
        <v>338</v>
      </c>
      <c r="F274" s="120" t="s">
        <v>439</v>
      </c>
      <c r="G274" s="137">
        <v>0.05</v>
      </c>
      <c r="H274" s="120" t="s">
        <v>758</v>
      </c>
      <c r="I274" s="120" t="s">
        <v>549</v>
      </c>
      <c r="J274" s="7" t="s">
        <v>913</v>
      </c>
      <c r="K274" s="16">
        <f>20000*1.04</f>
        <v>20800</v>
      </c>
      <c r="L274" s="8" t="s">
        <v>913</v>
      </c>
      <c r="M274" s="7" t="s">
        <v>913</v>
      </c>
      <c r="N274" s="7" t="s">
        <v>913</v>
      </c>
      <c r="O274" s="7" t="s">
        <v>913</v>
      </c>
      <c r="P274" s="8">
        <f t="shared" ref="P274:P287" si="16">SUM(J274:O274)</f>
        <v>20800</v>
      </c>
      <c r="Q274" s="18" t="s">
        <v>1021</v>
      </c>
      <c r="R274" s="9" t="s">
        <v>1211</v>
      </c>
    </row>
    <row r="275" spans="1:18" ht="54" x14ac:dyDescent="0.25">
      <c r="A275" s="136"/>
      <c r="B275" s="120"/>
      <c r="C275" s="9" t="s">
        <v>1138</v>
      </c>
      <c r="D275" s="120"/>
      <c r="E275" s="120"/>
      <c r="F275" s="120"/>
      <c r="G275" s="137"/>
      <c r="H275" s="120"/>
      <c r="I275" s="120"/>
      <c r="J275" s="7" t="s">
        <v>913</v>
      </c>
      <c r="K275" s="8" t="s">
        <v>913</v>
      </c>
      <c r="L275" s="16" t="s">
        <v>913</v>
      </c>
      <c r="M275" s="7" t="s">
        <v>913</v>
      </c>
      <c r="N275" s="7" t="s">
        <v>913</v>
      </c>
      <c r="O275" s="7" t="s">
        <v>913</v>
      </c>
      <c r="P275" s="8">
        <f t="shared" si="16"/>
        <v>0</v>
      </c>
      <c r="Q275" s="18" t="s">
        <v>1027</v>
      </c>
      <c r="R275" s="18" t="s">
        <v>1027</v>
      </c>
    </row>
    <row r="276" spans="1:18" ht="148.5" x14ac:dyDescent="0.25">
      <c r="A276" s="136"/>
      <c r="B276" s="120"/>
      <c r="C276" s="9" t="s">
        <v>548</v>
      </c>
      <c r="D276" s="120"/>
      <c r="E276" s="120"/>
      <c r="F276" s="120"/>
      <c r="G276" s="137"/>
      <c r="H276" s="120"/>
      <c r="I276" s="120"/>
      <c r="J276" s="7" t="s">
        <v>913</v>
      </c>
      <c r="K276" s="8" t="s">
        <v>913</v>
      </c>
      <c r="L276" s="16">
        <f>40000*1.04</f>
        <v>41600</v>
      </c>
      <c r="M276" s="7" t="s">
        <v>913</v>
      </c>
      <c r="N276" s="7" t="s">
        <v>913</v>
      </c>
      <c r="O276" s="7" t="s">
        <v>913</v>
      </c>
      <c r="P276" s="8">
        <f t="shared" si="16"/>
        <v>41600</v>
      </c>
      <c r="Q276" s="18" t="s">
        <v>1021</v>
      </c>
      <c r="R276" s="9" t="s">
        <v>1211</v>
      </c>
    </row>
    <row r="277" spans="1:18" ht="81" x14ac:dyDescent="0.25">
      <c r="A277" s="136"/>
      <c r="B277" s="120"/>
      <c r="C277" s="9" t="s">
        <v>558</v>
      </c>
      <c r="D277" s="120"/>
      <c r="E277" s="120"/>
      <c r="F277" s="120"/>
      <c r="G277" s="137"/>
      <c r="H277" s="120"/>
      <c r="I277" s="120"/>
      <c r="J277" s="7" t="s">
        <v>913</v>
      </c>
      <c r="K277" s="8" t="s">
        <v>913</v>
      </c>
      <c r="L277" s="8" t="s">
        <v>913</v>
      </c>
      <c r="M277" s="7" t="s">
        <v>913</v>
      </c>
      <c r="N277" s="7" t="s">
        <v>913</v>
      </c>
      <c r="O277" s="7" t="s">
        <v>913</v>
      </c>
      <c r="P277" s="8">
        <f t="shared" si="16"/>
        <v>0</v>
      </c>
      <c r="Q277" s="18" t="s">
        <v>914</v>
      </c>
      <c r="R277" s="9" t="s">
        <v>1212</v>
      </c>
    </row>
    <row r="278" spans="1:18" ht="121.5" x14ac:dyDescent="0.25">
      <c r="A278" s="136" t="s">
        <v>1069</v>
      </c>
      <c r="B278" s="164" t="s">
        <v>537</v>
      </c>
      <c r="C278" s="9" t="s">
        <v>356</v>
      </c>
      <c r="D278" s="120" t="s">
        <v>1139</v>
      </c>
      <c r="E278" s="120" t="s">
        <v>340</v>
      </c>
      <c r="F278" s="120" t="s">
        <v>341</v>
      </c>
      <c r="G278" s="120">
        <v>0</v>
      </c>
      <c r="H278" s="120" t="s">
        <v>1252</v>
      </c>
      <c r="I278" s="120" t="s">
        <v>46</v>
      </c>
      <c r="J278" s="7" t="s">
        <v>913</v>
      </c>
      <c r="K278" s="7" t="s">
        <v>913</v>
      </c>
      <c r="L278" s="16">
        <f>47000*1.04</f>
        <v>48880</v>
      </c>
      <c r="M278" s="7" t="s">
        <v>913</v>
      </c>
      <c r="N278" s="7" t="s">
        <v>913</v>
      </c>
      <c r="O278" s="7" t="s">
        <v>913</v>
      </c>
      <c r="P278" s="8">
        <f t="shared" si="16"/>
        <v>48880</v>
      </c>
      <c r="Q278" s="18" t="s">
        <v>1021</v>
      </c>
      <c r="R278" s="9" t="s">
        <v>1211</v>
      </c>
    </row>
    <row r="279" spans="1:18" ht="202.5" x14ac:dyDescent="0.25">
      <c r="A279" s="136"/>
      <c r="B279" s="164"/>
      <c r="C279" s="9" t="s">
        <v>357</v>
      </c>
      <c r="D279" s="120"/>
      <c r="E279" s="120"/>
      <c r="F279" s="120"/>
      <c r="G279" s="120"/>
      <c r="H279" s="120"/>
      <c r="I279" s="120"/>
      <c r="J279" s="7" t="s">
        <v>913</v>
      </c>
      <c r="K279" s="8" t="s">
        <v>913</v>
      </c>
      <c r="L279" s="8" t="s">
        <v>913</v>
      </c>
      <c r="M279" s="7" t="s">
        <v>913</v>
      </c>
      <c r="N279" s="7" t="s">
        <v>913</v>
      </c>
      <c r="O279" s="7" t="s">
        <v>913</v>
      </c>
      <c r="P279" s="8">
        <f t="shared" si="16"/>
        <v>0</v>
      </c>
      <c r="Q279" s="18" t="s">
        <v>1095</v>
      </c>
      <c r="R279" s="18" t="s">
        <v>1095</v>
      </c>
    </row>
    <row r="280" spans="1:18" ht="148.5" x14ac:dyDescent="0.25">
      <c r="A280" s="136"/>
      <c r="B280" s="164"/>
      <c r="C280" s="9" t="s">
        <v>481</v>
      </c>
      <c r="D280" s="120"/>
      <c r="E280" s="120"/>
      <c r="F280" s="120"/>
      <c r="G280" s="120"/>
      <c r="H280" s="120"/>
      <c r="I280" s="120"/>
      <c r="J280" s="7" t="s">
        <v>913</v>
      </c>
      <c r="K280" s="7" t="s">
        <v>913</v>
      </c>
      <c r="L280" s="16">
        <f>115000*1.04</f>
        <v>119600</v>
      </c>
      <c r="M280" s="7" t="s">
        <v>913</v>
      </c>
      <c r="N280" s="7" t="s">
        <v>913</v>
      </c>
      <c r="O280" s="7" t="s">
        <v>913</v>
      </c>
      <c r="P280" s="8">
        <f t="shared" si="16"/>
        <v>119600</v>
      </c>
      <c r="Q280" s="18" t="s">
        <v>1021</v>
      </c>
      <c r="R280" s="9" t="s">
        <v>1211</v>
      </c>
    </row>
    <row r="281" spans="1:18" ht="256.5" x14ac:dyDescent="0.25">
      <c r="A281" s="136"/>
      <c r="B281" s="164"/>
      <c r="C281" s="9" t="s">
        <v>359</v>
      </c>
      <c r="D281" s="120"/>
      <c r="E281" s="120"/>
      <c r="F281" s="120"/>
      <c r="G281" s="120"/>
      <c r="H281" s="120"/>
      <c r="I281" s="120"/>
      <c r="J281" s="7" t="s">
        <v>913</v>
      </c>
      <c r="K281" s="7" t="s">
        <v>913</v>
      </c>
      <c r="L281" s="16">
        <f>30000*1.04</f>
        <v>31200</v>
      </c>
      <c r="M281" s="16">
        <f>+L281*1.04</f>
        <v>32448</v>
      </c>
      <c r="N281" s="16">
        <f>+M281*1.04</f>
        <v>33745.919999999998</v>
      </c>
      <c r="O281" s="16">
        <f>+N281*1.04</f>
        <v>35095.756800000003</v>
      </c>
      <c r="P281" s="8">
        <f t="shared" si="16"/>
        <v>132489.67680000002</v>
      </c>
      <c r="Q281" s="18" t="s">
        <v>1028</v>
      </c>
      <c r="R281" s="9" t="s">
        <v>1211</v>
      </c>
    </row>
    <row r="282" spans="1:18" ht="67.5" x14ac:dyDescent="0.25">
      <c r="A282" s="136"/>
      <c r="B282" s="164"/>
      <c r="C282" s="9" t="s">
        <v>360</v>
      </c>
      <c r="D282" s="120"/>
      <c r="E282" s="120"/>
      <c r="F282" s="120"/>
      <c r="G282" s="120"/>
      <c r="H282" s="120"/>
      <c r="I282" s="120"/>
      <c r="J282" s="7" t="s">
        <v>913</v>
      </c>
      <c r="K282" s="7" t="s">
        <v>913</v>
      </c>
      <c r="L282" s="28">
        <f>36000*1.04</f>
        <v>37440</v>
      </c>
      <c r="M282" s="16" t="s">
        <v>913</v>
      </c>
      <c r="N282" s="16" t="s">
        <v>913</v>
      </c>
      <c r="O282" s="16" t="s">
        <v>913</v>
      </c>
      <c r="P282" s="8">
        <f t="shared" si="16"/>
        <v>37440</v>
      </c>
      <c r="Q282" s="18" t="s">
        <v>1021</v>
      </c>
      <c r="R282" s="9" t="s">
        <v>1211</v>
      </c>
    </row>
    <row r="283" spans="1:18" ht="153.6" customHeight="1" x14ac:dyDescent="0.25">
      <c r="A283" s="136" t="s">
        <v>1070</v>
      </c>
      <c r="B283" s="120" t="s">
        <v>339</v>
      </c>
      <c r="C283" s="9" t="s">
        <v>356</v>
      </c>
      <c r="D283" s="120" t="s">
        <v>1140</v>
      </c>
      <c r="E283" s="120" t="s">
        <v>340</v>
      </c>
      <c r="F283" s="120" t="s">
        <v>341</v>
      </c>
      <c r="G283" s="120">
        <v>0</v>
      </c>
      <c r="H283" s="120" t="s">
        <v>1252</v>
      </c>
      <c r="I283" s="120" t="s">
        <v>46</v>
      </c>
      <c r="J283" s="7" t="s">
        <v>913</v>
      </c>
      <c r="K283" s="7" t="s">
        <v>913</v>
      </c>
      <c r="L283" s="16">
        <f>46000*1.04</f>
        <v>47840</v>
      </c>
      <c r="M283" s="7" t="s">
        <v>913</v>
      </c>
      <c r="N283" s="7" t="s">
        <v>913</v>
      </c>
      <c r="O283" s="7" t="s">
        <v>913</v>
      </c>
      <c r="P283" s="8">
        <f t="shared" si="16"/>
        <v>47840</v>
      </c>
      <c r="Q283" s="18" t="s">
        <v>1021</v>
      </c>
      <c r="R283" s="9" t="s">
        <v>1211</v>
      </c>
    </row>
    <row r="284" spans="1:18" ht="202.5" x14ac:dyDescent="0.25">
      <c r="A284" s="136"/>
      <c r="B284" s="120"/>
      <c r="C284" s="9" t="s">
        <v>357</v>
      </c>
      <c r="D284" s="120"/>
      <c r="E284" s="120"/>
      <c r="F284" s="120"/>
      <c r="G284" s="120"/>
      <c r="H284" s="120"/>
      <c r="I284" s="120"/>
      <c r="J284" s="7" t="s">
        <v>913</v>
      </c>
      <c r="K284" s="7" t="s">
        <v>913</v>
      </c>
      <c r="L284" s="16">
        <f>25000*1.04</f>
        <v>26000</v>
      </c>
      <c r="M284" s="7" t="s">
        <v>913</v>
      </c>
      <c r="N284" s="7" t="s">
        <v>913</v>
      </c>
      <c r="O284" s="7" t="s">
        <v>913</v>
      </c>
      <c r="P284" s="8">
        <f t="shared" si="16"/>
        <v>26000</v>
      </c>
      <c r="Q284" s="18" t="s">
        <v>1021</v>
      </c>
      <c r="R284" s="9" t="s">
        <v>1211</v>
      </c>
    </row>
    <row r="285" spans="1:18" ht="148.5" x14ac:dyDescent="0.25">
      <c r="A285" s="136"/>
      <c r="B285" s="120"/>
      <c r="C285" s="9" t="s">
        <v>358</v>
      </c>
      <c r="D285" s="120"/>
      <c r="E285" s="120"/>
      <c r="F285" s="120"/>
      <c r="G285" s="120"/>
      <c r="H285" s="120"/>
      <c r="I285" s="120"/>
      <c r="J285" s="7" t="s">
        <v>913</v>
      </c>
      <c r="K285" s="7" t="s">
        <v>913</v>
      </c>
      <c r="L285" s="16">
        <f>35000*1.04</f>
        <v>36400</v>
      </c>
      <c r="M285" s="7" t="s">
        <v>913</v>
      </c>
      <c r="N285" s="7" t="s">
        <v>913</v>
      </c>
      <c r="O285" s="7" t="s">
        <v>913</v>
      </c>
      <c r="P285" s="8">
        <f t="shared" si="16"/>
        <v>36400</v>
      </c>
      <c r="Q285" s="18" t="s">
        <v>1021</v>
      </c>
      <c r="R285" s="9" t="s">
        <v>1211</v>
      </c>
    </row>
    <row r="286" spans="1:18" ht="256.5" x14ac:dyDescent="0.25">
      <c r="A286" s="136"/>
      <c r="B286" s="120"/>
      <c r="C286" s="9" t="s">
        <v>359</v>
      </c>
      <c r="D286" s="120"/>
      <c r="E286" s="120"/>
      <c r="F286" s="120"/>
      <c r="G286" s="120"/>
      <c r="H286" s="120"/>
      <c r="I286" s="120"/>
      <c r="J286" s="7" t="s">
        <v>913</v>
      </c>
      <c r="K286" s="7" t="s">
        <v>913</v>
      </c>
      <c r="L286" s="16">
        <f>13000*1.04</f>
        <v>13520</v>
      </c>
      <c r="M286" s="16">
        <f>+L286*1.04</f>
        <v>14060.800000000001</v>
      </c>
      <c r="N286" s="16">
        <f>+M286*1.04</f>
        <v>14623.232000000002</v>
      </c>
      <c r="O286" s="16">
        <f>+N286*1.04</f>
        <v>15208.161280000002</v>
      </c>
      <c r="P286" s="8">
        <f t="shared" si="16"/>
        <v>57412.193280000007</v>
      </c>
      <c r="Q286" s="18" t="s">
        <v>1028</v>
      </c>
      <c r="R286" s="9" t="s">
        <v>1211</v>
      </c>
    </row>
    <row r="287" spans="1:18" ht="67.5" x14ac:dyDescent="0.25">
      <c r="A287" s="136"/>
      <c r="B287" s="120"/>
      <c r="C287" s="9" t="s">
        <v>360</v>
      </c>
      <c r="D287" s="120"/>
      <c r="E287" s="120"/>
      <c r="F287" s="120"/>
      <c r="G287" s="120"/>
      <c r="H287" s="120"/>
      <c r="I287" s="120"/>
      <c r="J287" s="7" t="s">
        <v>913</v>
      </c>
      <c r="K287" s="7" t="s">
        <v>913</v>
      </c>
      <c r="L287" s="16">
        <f>26000*1.04</f>
        <v>27040</v>
      </c>
      <c r="M287" s="16" t="s">
        <v>913</v>
      </c>
      <c r="N287" s="16" t="s">
        <v>913</v>
      </c>
      <c r="O287" s="16" t="s">
        <v>913</v>
      </c>
      <c r="P287" s="8">
        <f t="shared" si="16"/>
        <v>27040</v>
      </c>
      <c r="Q287" s="18" t="s">
        <v>1021</v>
      </c>
      <c r="R287" s="9" t="s">
        <v>1211</v>
      </c>
    </row>
    <row r="288" spans="1:18" x14ac:dyDescent="0.25">
      <c r="A288" s="142" t="s">
        <v>874</v>
      </c>
      <c r="B288" s="143"/>
      <c r="C288" s="143"/>
      <c r="D288" s="143"/>
      <c r="E288" s="143"/>
      <c r="F288" s="143"/>
      <c r="G288" s="143"/>
      <c r="H288" s="143"/>
      <c r="I288" s="144"/>
      <c r="J288" s="77"/>
      <c r="K288" s="77"/>
      <c r="L288" s="77"/>
      <c r="M288" s="77"/>
      <c r="N288" s="77"/>
      <c r="O288" s="77"/>
      <c r="P288" s="78">
        <f>SUM(P274:P287)</f>
        <v>595501.87008000002</v>
      </c>
      <c r="Q288" s="77"/>
      <c r="R288" s="79"/>
    </row>
    <row r="289" spans="1:18" ht="14.25" x14ac:dyDescent="0.25">
      <c r="A289" s="207" t="s">
        <v>1359</v>
      </c>
      <c r="B289" s="208"/>
      <c r="C289" s="208"/>
      <c r="D289" s="208"/>
      <c r="E289" s="208"/>
      <c r="F289" s="208"/>
      <c r="G289" s="208"/>
      <c r="H289" s="208"/>
      <c r="I289" s="209"/>
      <c r="J289" s="77"/>
      <c r="K289" s="77"/>
      <c r="L289" s="77"/>
      <c r="M289" s="77"/>
      <c r="N289" s="77"/>
      <c r="O289" s="77"/>
      <c r="P289" s="78">
        <f>+P288+P272+P255+P228</f>
        <v>36672587.010559998</v>
      </c>
      <c r="Q289" s="77"/>
      <c r="R289" s="79"/>
    </row>
    <row r="290" spans="1:18" ht="14.25" x14ac:dyDescent="0.25">
      <c r="A290" s="174" t="s">
        <v>17</v>
      </c>
      <c r="B290" s="175"/>
      <c r="C290" s="175"/>
      <c r="D290" s="175"/>
      <c r="E290" s="175"/>
      <c r="F290" s="175"/>
      <c r="G290" s="175"/>
      <c r="H290" s="175"/>
      <c r="I290" s="176"/>
      <c r="J290" s="85"/>
      <c r="K290" s="85"/>
      <c r="L290" s="85"/>
      <c r="M290" s="85"/>
      <c r="N290" s="85"/>
      <c r="O290" s="85"/>
      <c r="P290" s="85"/>
      <c r="Q290" s="85"/>
      <c r="R290" s="86"/>
    </row>
    <row r="291" spans="1:18" ht="14.25" x14ac:dyDescent="0.25">
      <c r="A291" s="169" t="s">
        <v>18</v>
      </c>
      <c r="B291" s="170"/>
      <c r="C291" s="170"/>
      <c r="D291" s="170"/>
      <c r="E291" s="170"/>
      <c r="F291" s="170"/>
      <c r="G291" s="170"/>
      <c r="H291" s="170"/>
      <c r="I291" s="171"/>
      <c r="J291" s="77"/>
      <c r="K291" s="77"/>
      <c r="L291" s="77"/>
      <c r="M291" s="77"/>
      <c r="N291" s="77"/>
      <c r="O291" s="77"/>
      <c r="P291" s="77"/>
      <c r="Q291" s="77"/>
      <c r="R291" s="79"/>
    </row>
    <row r="292" spans="1:18" ht="67.5" x14ac:dyDescent="0.25">
      <c r="A292" s="136" t="s">
        <v>26</v>
      </c>
      <c r="B292" s="120" t="s">
        <v>23</v>
      </c>
      <c r="C292" s="9" t="s">
        <v>53</v>
      </c>
      <c r="D292" s="120" t="s">
        <v>681</v>
      </c>
      <c r="E292" s="120" t="s">
        <v>45</v>
      </c>
      <c r="F292" s="120" t="s">
        <v>667</v>
      </c>
      <c r="G292" s="120">
        <v>0</v>
      </c>
      <c r="H292" s="136" t="s">
        <v>1252</v>
      </c>
      <c r="I292" s="136" t="s">
        <v>46</v>
      </c>
      <c r="J292" s="7" t="s">
        <v>913</v>
      </c>
      <c r="K292" s="7" t="s">
        <v>913</v>
      </c>
      <c r="L292" s="8">
        <f>70000*1.04</f>
        <v>72800</v>
      </c>
      <c r="M292" s="8" t="s">
        <v>913</v>
      </c>
      <c r="N292" s="8" t="s">
        <v>913</v>
      </c>
      <c r="O292" s="8" t="s">
        <v>913</v>
      </c>
      <c r="P292" s="8">
        <f t="shared" ref="P292:P334" si="17">SUM(J292:O292)</f>
        <v>72800</v>
      </c>
      <c r="Q292" s="18" t="s">
        <v>1021</v>
      </c>
      <c r="R292" s="9" t="s">
        <v>1211</v>
      </c>
    </row>
    <row r="293" spans="1:18" ht="67.5" x14ac:dyDescent="0.25">
      <c r="A293" s="136"/>
      <c r="B293" s="120"/>
      <c r="C293" s="9" t="s">
        <v>114</v>
      </c>
      <c r="D293" s="120"/>
      <c r="E293" s="120"/>
      <c r="F293" s="120"/>
      <c r="G293" s="120"/>
      <c r="H293" s="136"/>
      <c r="I293" s="136"/>
      <c r="J293" s="7" t="s">
        <v>913</v>
      </c>
      <c r="K293" s="8" t="s">
        <v>913</v>
      </c>
      <c r="L293" s="8" t="s">
        <v>913</v>
      </c>
      <c r="M293" s="8" t="s">
        <v>913</v>
      </c>
      <c r="N293" s="8" t="s">
        <v>913</v>
      </c>
      <c r="O293" s="8" t="s">
        <v>913</v>
      </c>
      <c r="P293" s="8">
        <f t="shared" si="17"/>
        <v>0</v>
      </c>
      <c r="Q293" s="18" t="s">
        <v>1029</v>
      </c>
      <c r="R293" s="18" t="s">
        <v>1029</v>
      </c>
    </row>
    <row r="294" spans="1:18" ht="94.5" x14ac:dyDescent="0.25">
      <c r="A294" s="136"/>
      <c r="B294" s="120"/>
      <c r="C294" s="9" t="s">
        <v>441</v>
      </c>
      <c r="D294" s="120"/>
      <c r="E294" s="120"/>
      <c r="F294" s="120"/>
      <c r="G294" s="120"/>
      <c r="H294" s="136"/>
      <c r="I294" s="136"/>
      <c r="J294" s="7" t="s">
        <v>913</v>
      </c>
      <c r="K294" s="8" t="s">
        <v>913</v>
      </c>
      <c r="L294" s="8" t="s">
        <v>913</v>
      </c>
      <c r="M294" s="8" t="s">
        <v>913</v>
      </c>
      <c r="N294" s="8" t="s">
        <v>913</v>
      </c>
      <c r="O294" s="8" t="s">
        <v>913</v>
      </c>
      <c r="P294" s="8">
        <f t="shared" si="17"/>
        <v>0</v>
      </c>
      <c r="Q294" s="18" t="s">
        <v>1029</v>
      </c>
      <c r="R294" s="18" t="s">
        <v>1029</v>
      </c>
    </row>
    <row r="295" spans="1:18" ht="108" x14ac:dyDescent="0.25">
      <c r="A295" s="136"/>
      <c r="B295" s="120"/>
      <c r="C295" s="9" t="s">
        <v>640</v>
      </c>
      <c r="D295" s="120"/>
      <c r="E295" s="120"/>
      <c r="F295" s="120"/>
      <c r="G295" s="120"/>
      <c r="H295" s="136"/>
      <c r="I295" s="136"/>
      <c r="J295" s="7" t="s">
        <v>913</v>
      </c>
      <c r="K295" s="8" t="s">
        <v>913</v>
      </c>
      <c r="L295" s="8" t="s">
        <v>913</v>
      </c>
      <c r="M295" s="8" t="s">
        <v>913</v>
      </c>
      <c r="N295" s="8" t="s">
        <v>913</v>
      </c>
      <c r="O295" s="8" t="s">
        <v>913</v>
      </c>
      <c r="P295" s="8">
        <f t="shared" si="17"/>
        <v>0</v>
      </c>
      <c r="Q295" s="18" t="s">
        <v>1029</v>
      </c>
      <c r="R295" s="18" t="s">
        <v>1029</v>
      </c>
    </row>
    <row r="296" spans="1:18" ht="82.9" customHeight="1" x14ac:dyDescent="0.25">
      <c r="A296" s="136" t="s">
        <v>27</v>
      </c>
      <c r="B296" s="120" t="s">
        <v>1294</v>
      </c>
      <c r="C296" s="9" t="s">
        <v>442</v>
      </c>
      <c r="D296" s="120" t="s">
        <v>687</v>
      </c>
      <c r="E296" s="120" t="s">
        <v>47</v>
      </c>
      <c r="F296" s="120" t="s">
        <v>48</v>
      </c>
      <c r="G296" s="136">
        <v>0</v>
      </c>
      <c r="H296" s="120" t="s">
        <v>1254</v>
      </c>
      <c r="I296" s="136" t="s">
        <v>46</v>
      </c>
      <c r="J296" s="7" t="s">
        <v>913</v>
      </c>
      <c r="K296" s="7" t="s">
        <v>913</v>
      </c>
      <c r="L296" s="8">
        <v>125000</v>
      </c>
      <c r="M296" s="8">
        <v>150000</v>
      </c>
      <c r="N296" s="8" t="s">
        <v>913</v>
      </c>
      <c r="O296" s="8" t="s">
        <v>913</v>
      </c>
      <c r="P296" s="8">
        <f t="shared" si="17"/>
        <v>275000</v>
      </c>
      <c r="Q296" s="18" t="s">
        <v>1021</v>
      </c>
      <c r="R296" s="9" t="s">
        <v>1211</v>
      </c>
    </row>
    <row r="297" spans="1:18" ht="148.5" x14ac:dyDescent="0.25">
      <c r="A297" s="136"/>
      <c r="B297" s="120"/>
      <c r="C297" s="9" t="s">
        <v>443</v>
      </c>
      <c r="D297" s="120"/>
      <c r="E297" s="120"/>
      <c r="F297" s="120"/>
      <c r="G297" s="136"/>
      <c r="H297" s="136"/>
      <c r="I297" s="136"/>
      <c r="J297" s="7" t="s">
        <v>913</v>
      </c>
      <c r="K297" s="8" t="s">
        <v>913</v>
      </c>
      <c r="L297" s="8" t="s">
        <v>913</v>
      </c>
      <c r="M297" s="8" t="s">
        <v>913</v>
      </c>
      <c r="N297" s="8" t="s">
        <v>913</v>
      </c>
      <c r="O297" s="8" t="s">
        <v>913</v>
      </c>
      <c r="P297" s="8">
        <f t="shared" si="17"/>
        <v>0</v>
      </c>
      <c r="Q297" s="18" t="s">
        <v>1030</v>
      </c>
      <c r="R297" s="18" t="s">
        <v>1030</v>
      </c>
    </row>
    <row r="298" spans="1:18" ht="107.45" customHeight="1" x14ac:dyDescent="0.25">
      <c r="A298" s="136"/>
      <c r="B298" s="120"/>
      <c r="C298" s="9" t="s">
        <v>981</v>
      </c>
      <c r="D298" s="120"/>
      <c r="E298" s="120"/>
      <c r="F298" s="120"/>
      <c r="G298" s="136"/>
      <c r="H298" s="136"/>
      <c r="I298" s="136"/>
      <c r="J298" s="7" t="s">
        <v>913</v>
      </c>
      <c r="K298" s="8" t="s">
        <v>913</v>
      </c>
      <c r="L298" s="16" t="s">
        <v>913</v>
      </c>
      <c r="M298" s="16" t="s">
        <v>913</v>
      </c>
      <c r="N298" s="8" t="s">
        <v>913</v>
      </c>
      <c r="O298" s="8" t="s">
        <v>913</v>
      </c>
      <c r="P298" s="8">
        <f t="shared" si="17"/>
        <v>0</v>
      </c>
      <c r="Q298" s="18" t="s">
        <v>1030</v>
      </c>
      <c r="R298" s="18" t="s">
        <v>1030</v>
      </c>
    </row>
    <row r="299" spans="1:18" ht="118.9" customHeight="1" x14ac:dyDescent="0.25">
      <c r="A299" s="136"/>
      <c r="B299" s="120"/>
      <c r="C299" s="9" t="s">
        <v>444</v>
      </c>
      <c r="D299" s="120"/>
      <c r="E299" s="120"/>
      <c r="F299" s="120"/>
      <c r="G299" s="136"/>
      <c r="H299" s="136"/>
      <c r="I299" s="136"/>
      <c r="J299" s="7" t="s">
        <v>913</v>
      </c>
      <c r="K299" s="8" t="s">
        <v>913</v>
      </c>
      <c r="L299" s="8">
        <v>275000</v>
      </c>
      <c r="M299" s="16">
        <v>350000</v>
      </c>
      <c r="N299" s="8" t="s">
        <v>913</v>
      </c>
      <c r="O299" s="8" t="s">
        <v>913</v>
      </c>
      <c r="P299" s="8">
        <f t="shared" si="17"/>
        <v>625000</v>
      </c>
      <c r="Q299" s="18" t="s">
        <v>1021</v>
      </c>
      <c r="R299" s="9" t="s">
        <v>1211</v>
      </c>
    </row>
    <row r="300" spans="1:18" ht="54" x14ac:dyDescent="0.25">
      <c r="A300" s="136" t="s">
        <v>28</v>
      </c>
      <c r="B300" s="172" t="s">
        <v>201</v>
      </c>
      <c r="C300" s="9" t="s">
        <v>256</v>
      </c>
      <c r="D300" s="120" t="s">
        <v>688</v>
      </c>
      <c r="E300" s="120" t="s">
        <v>257</v>
      </c>
      <c r="F300" s="120" t="s">
        <v>668</v>
      </c>
      <c r="G300" s="137">
        <v>0.05</v>
      </c>
      <c r="H300" s="120" t="s">
        <v>1253</v>
      </c>
      <c r="I300" s="136" t="s">
        <v>46</v>
      </c>
      <c r="J300" s="7" t="s">
        <v>913</v>
      </c>
      <c r="K300" s="7" t="s">
        <v>913</v>
      </c>
      <c r="L300" s="16">
        <f>15000*1.04</f>
        <v>15600</v>
      </c>
      <c r="M300" s="8" t="s">
        <v>913</v>
      </c>
      <c r="N300" s="8" t="s">
        <v>913</v>
      </c>
      <c r="O300" s="8" t="s">
        <v>913</v>
      </c>
      <c r="P300" s="8">
        <f t="shared" si="17"/>
        <v>15600</v>
      </c>
      <c r="Q300" s="19" t="s">
        <v>1021</v>
      </c>
      <c r="R300" s="9" t="s">
        <v>1211</v>
      </c>
    </row>
    <row r="301" spans="1:18" ht="40.5" x14ac:dyDescent="0.25">
      <c r="A301" s="136"/>
      <c r="B301" s="172"/>
      <c r="C301" s="9" t="s">
        <v>50</v>
      </c>
      <c r="D301" s="120"/>
      <c r="E301" s="120"/>
      <c r="F301" s="120"/>
      <c r="G301" s="136"/>
      <c r="H301" s="136"/>
      <c r="I301" s="136"/>
      <c r="J301" s="7" t="s">
        <v>913</v>
      </c>
      <c r="K301" s="8" t="s">
        <v>913</v>
      </c>
      <c r="L301" s="8" t="s">
        <v>913</v>
      </c>
      <c r="M301" s="8" t="s">
        <v>913</v>
      </c>
      <c r="N301" s="8" t="s">
        <v>913</v>
      </c>
      <c r="O301" s="8" t="s">
        <v>913</v>
      </c>
      <c r="P301" s="8">
        <f t="shared" si="17"/>
        <v>0</v>
      </c>
      <c r="Q301" s="19" t="s">
        <v>1031</v>
      </c>
      <c r="R301" s="19" t="s">
        <v>1031</v>
      </c>
    </row>
    <row r="302" spans="1:18" ht="67.5" x14ac:dyDescent="0.25">
      <c r="A302" s="136"/>
      <c r="B302" s="172"/>
      <c r="C302" s="9" t="s">
        <v>146</v>
      </c>
      <c r="D302" s="120"/>
      <c r="E302" s="120"/>
      <c r="F302" s="120"/>
      <c r="G302" s="136"/>
      <c r="H302" s="136"/>
      <c r="I302" s="136"/>
      <c r="J302" s="7" t="s">
        <v>913</v>
      </c>
      <c r="K302" s="8" t="s">
        <v>913</v>
      </c>
      <c r="L302" s="8" t="s">
        <v>913</v>
      </c>
      <c r="M302" s="8" t="s">
        <v>913</v>
      </c>
      <c r="N302" s="8" t="s">
        <v>913</v>
      </c>
      <c r="O302" s="8" t="s">
        <v>913</v>
      </c>
      <c r="P302" s="8">
        <f t="shared" si="17"/>
        <v>0</v>
      </c>
      <c r="Q302" s="18" t="s">
        <v>914</v>
      </c>
      <c r="R302" s="9" t="s">
        <v>1212</v>
      </c>
    </row>
    <row r="303" spans="1:18" ht="40.5" x14ac:dyDescent="0.25">
      <c r="A303" s="136"/>
      <c r="B303" s="172"/>
      <c r="C303" s="9" t="s">
        <v>634</v>
      </c>
      <c r="D303" s="120"/>
      <c r="E303" s="120"/>
      <c r="F303" s="120"/>
      <c r="G303" s="136"/>
      <c r="H303" s="136"/>
      <c r="I303" s="136"/>
      <c r="J303" s="7" t="s">
        <v>913</v>
      </c>
      <c r="K303" s="8" t="s">
        <v>913</v>
      </c>
      <c r="L303" s="8" t="s">
        <v>913</v>
      </c>
      <c r="M303" s="8" t="s">
        <v>913</v>
      </c>
      <c r="N303" s="8" t="s">
        <v>913</v>
      </c>
      <c r="O303" s="8" t="s">
        <v>913</v>
      </c>
      <c r="P303" s="8">
        <f t="shared" si="17"/>
        <v>0</v>
      </c>
      <c r="Q303" s="18" t="s">
        <v>914</v>
      </c>
      <c r="R303" s="9" t="s">
        <v>1212</v>
      </c>
    </row>
    <row r="304" spans="1:18" ht="27" x14ac:dyDescent="0.25">
      <c r="A304" s="136"/>
      <c r="B304" s="172"/>
      <c r="C304" s="9" t="s">
        <v>51</v>
      </c>
      <c r="D304" s="120"/>
      <c r="E304" s="120"/>
      <c r="F304" s="120"/>
      <c r="G304" s="136"/>
      <c r="H304" s="136"/>
      <c r="I304" s="136"/>
      <c r="J304" s="7" t="s">
        <v>913</v>
      </c>
      <c r="K304" s="8" t="s">
        <v>913</v>
      </c>
      <c r="L304" s="8" t="s">
        <v>913</v>
      </c>
      <c r="M304" s="8" t="s">
        <v>913</v>
      </c>
      <c r="N304" s="8" t="s">
        <v>913</v>
      </c>
      <c r="O304" s="8" t="s">
        <v>913</v>
      </c>
      <c r="P304" s="8">
        <f t="shared" si="17"/>
        <v>0</v>
      </c>
      <c r="Q304" s="18" t="s">
        <v>914</v>
      </c>
      <c r="R304" s="9" t="s">
        <v>1212</v>
      </c>
    </row>
    <row r="305" spans="1:18" ht="54" x14ac:dyDescent="0.25">
      <c r="A305" s="136"/>
      <c r="B305" s="172"/>
      <c r="C305" s="9" t="s">
        <v>54</v>
      </c>
      <c r="D305" s="120"/>
      <c r="E305" s="120"/>
      <c r="F305" s="120"/>
      <c r="G305" s="136"/>
      <c r="H305" s="136"/>
      <c r="I305" s="136"/>
      <c r="J305" s="7" t="s">
        <v>913</v>
      </c>
      <c r="K305" s="7" t="s">
        <v>913</v>
      </c>
      <c r="L305" s="16">
        <f>+(300000/3)*1.04*1.04</f>
        <v>108160</v>
      </c>
      <c r="M305" s="16">
        <f>+L305*1.04</f>
        <v>112486.40000000001</v>
      </c>
      <c r="N305" s="16">
        <f>+M305*1.04</f>
        <v>116985.85600000001</v>
      </c>
      <c r="O305" s="8" t="s">
        <v>913</v>
      </c>
      <c r="P305" s="8">
        <f t="shared" si="17"/>
        <v>337632.25600000005</v>
      </c>
      <c r="Q305" s="19" t="s">
        <v>923</v>
      </c>
      <c r="R305" s="9" t="s">
        <v>1211</v>
      </c>
    </row>
    <row r="306" spans="1:18" ht="40.5" x14ac:dyDescent="0.25">
      <c r="A306" s="136"/>
      <c r="B306" s="172"/>
      <c r="C306" s="9" t="s">
        <v>147</v>
      </c>
      <c r="D306" s="120"/>
      <c r="E306" s="120"/>
      <c r="F306" s="120"/>
      <c r="G306" s="136"/>
      <c r="H306" s="136"/>
      <c r="I306" s="136"/>
      <c r="J306" s="7" t="s">
        <v>913</v>
      </c>
      <c r="K306" s="8" t="s">
        <v>913</v>
      </c>
      <c r="L306" s="8" t="s">
        <v>913</v>
      </c>
      <c r="M306" s="8" t="s">
        <v>913</v>
      </c>
      <c r="N306" s="8" t="s">
        <v>913</v>
      </c>
      <c r="O306" s="8" t="s">
        <v>913</v>
      </c>
      <c r="P306" s="8">
        <f t="shared" si="17"/>
        <v>0</v>
      </c>
      <c r="Q306" s="19" t="s">
        <v>1032</v>
      </c>
      <c r="R306" s="19" t="s">
        <v>1032</v>
      </c>
    </row>
    <row r="307" spans="1:18" ht="40.5" x14ac:dyDescent="0.25">
      <c r="A307" s="136"/>
      <c r="B307" s="172"/>
      <c r="C307" s="9" t="s">
        <v>56</v>
      </c>
      <c r="D307" s="120"/>
      <c r="E307" s="120"/>
      <c r="F307" s="120"/>
      <c r="G307" s="136"/>
      <c r="H307" s="136"/>
      <c r="I307" s="136"/>
      <c r="J307" s="7" t="s">
        <v>913</v>
      </c>
      <c r="K307" s="8" t="s">
        <v>913</v>
      </c>
      <c r="L307" s="8" t="s">
        <v>913</v>
      </c>
      <c r="M307" s="8" t="s">
        <v>913</v>
      </c>
      <c r="N307" s="8" t="s">
        <v>913</v>
      </c>
      <c r="O307" s="8" t="s">
        <v>913</v>
      </c>
      <c r="P307" s="8">
        <f t="shared" si="17"/>
        <v>0</v>
      </c>
      <c r="Q307" s="19" t="s">
        <v>1032</v>
      </c>
      <c r="R307" s="19" t="s">
        <v>1032</v>
      </c>
    </row>
    <row r="308" spans="1:18" ht="40.5" x14ac:dyDescent="0.25">
      <c r="A308" s="136" t="s">
        <v>677</v>
      </c>
      <c r="B308" s="120" t="s">
        <v>898</v>
      </c>
      <c r="C308" s="9" t="s">
        <v>71</v>
      </c>
      <c r="D308" s="120" t="s">
        <v>414</v>
      </c>
      <c r="E308" s="120" t="s">
        <v>73</v>
      </c>
      <c r="F308" s="120" t="s">
        <v>61</v>
      </c>
      <c r="G308" s="120">
        <v>0</v>
      </c>
      <c r="H308" s="120" t="s">
        <v>1248</v>
      </c>
      <c r="I308" s="120" t="s">
        <v>46</v>
      </c>
      <c r="J308" s="7" t="s">
        <v>913</v>
      </c>
      <c r="K308" s="8" t="s">
        <v>913</v>
      </c>
      <c r="L308" s="8" t="s">
        <v>913</v>
      </c>
      <c r="M308" s="8" t="s">
        <v>913</v>
      </c>
      <c r="N308" s="8" t="s">
        <v>913</v>
      </c>
      <c r="O308" s="8" t="s">
        <v>913</v>
      </c>
      <c r="P308" s="8">
        <f t="shared" si="17"/>
        <v>0</v>
      </c>
      <c r="Q308" s="19" t="s">
        <v>914</v>
      </c>
      <c r="R308" s="9" t="s">
        <v>1212</v>
      </c>
    </row>
    <row r="309" spans="1:18" ht="27" x14ac:dyDescent="0.25">
      <c r="A309" s="136"/>
      <c r="B309" s="120"/>
      <c r="C309" s="9" t="s">
        <v>72</v>
      </c>
      <c r="D309" s="120"/>
      <c r="E309" s="120"/>
      <c r="F309" s="120"/>
      <c r="G309" s="120"/>
      <c r="H309" s="120"/>
      <c r="I309" s="120"/>
      <c r="J309" s="7" t="s">
        <v>913</v>
      </c>
      <c r="K309" s="8" t="s">
        <v>913</v>
      </c>
      <c r="L309" s="8" t="s">
        <v>913</v>
      </c>
      <c r="M309" s="8" t="s">
        <v>913</v>
      </c>
      <c r="N309" s="8" t="s">
        <v>913</v>
      </c>
      <c r="O309" s="8" t="s">
        <v>913</v>
      </c>
      <c r="P309" s="8">
        <f t="shared" si="17"/>
        <v>0</v>
      </c>
      <c r="Q309" s="18" t="s">
        <v>914</v>
      </c>
      <c r="R309" s="9" t="s">
        <v>1212</v>
      </c>
    </row>
    <row r="310" spans="1:18" ht="54" x14ac:dyDescent="0.25">
      <c r="A310" s="136" t="s">
        <v>678</v>
      </c>
      <c r="B310" s="120" t="s">
        <v>1200</v>
      </c>
      <c r="C310" s="9" t="s">
        <v>62</v>
      </c>
      <c r="D310" s="120" t="s">
        <v>1201</v>
      </c>
      <c r="E310" s="120" t="s">
        <v>1202</v>
      </c>
      <c r="F310" s="120" t="s">
        <v>67</v>
      </c>
      <c r="G310" s="120">
        <v>0</v>
      </c>
      <c r="H310" s="120" t="s">
        <v>1252</v>
      </c>
      <c r="I310" s="120" t="s">
        <v>46</v>
      </c>
      <c r="J310" s="7" t="s">
        <v>913</v>
      </c>
      <c r="K310" s="26">
        <f>10000*1.04</f>
        <v>10400</v>
      </c>
      <c r="L310" s="8" t="s">
        <v>913</v>
      </c>
      <c r="M310" s="8" t="s">
        <v>913</v>
      </c>
      <c r="N310" s="8" t="s">
        <v>913</v>
      </c>
      <c r="O310" s="8" t="s">
        <v>913</v>
      </c>
      <c r="P310" s="8">
        <f t="shared" si="17"/>
        <v>10400</v>
      </c>
      <c r="Q310" s="19" t="s">
        <v>1021</v>
      </c>
      <c r="R310" s="9" t="s">
        <v>1211</v>
      </c>
    </row>
    <row r="311" spans="1:18" ht="87" customHeight="1" x14ac:dyDescent="0.25">
      <c r="A311" s="136"/>
      <c r="B311" s="120"/>
      <c r="C311" s="9" t="s">
        <v>63</v>
      </c>
      <c r="D311" s="120"/>
      <c r="E311" s="120"/>
      <c r="F311" s="120"/>
      <c r="G311" s="120"/>
      <c r="H311" s="120"/>
      <c r="I311" s="120"/>
      <c r="J311" s="7" t="s">
        <v>913</v>
      </c>
      <c r="K311" s="8" t="s">
        <v>913</v>
      </c>
      <c r="L311" s="8" t="s">
        <v>913</v>
      </c>
      <c r="M311" s="8" t="s">
        <v>913</v>
      </c>
      <c r="N311" s="8" t="s">
        <v>913</v>
      </c>
      <c r="O311" s="8" t="s">
        <v>913</v>
      </c>
      <c r="P311" s="8">
        <f t="shared" si="17"/>
        <v>0</v>
      </c>
      <c r="Q311" s="18" t="s">
        <v>914</v>
      </c>
      <c r="R311" s="9" t="s">
        <v>1212</v>
      </c>
    </row>
    <row r="312" spans="1:18" ht="40.5" x14ac:dyDescent="0.25">
      <c r="A312" s="136"/>
      <c r="B312" s="120"/>
      <c r="C312" s="9" t="s">
        <v>636</v>
      </c>
      <c r="D312" s="120"/>
      <c r="E312" s="120"/>
      <c r="F312" s="120"/>
      <c r="G312" s="120"/>
      <c r="H312" s="120"/>
      <c r="I312" s="120"/>
      <c r="J312" s="7" t="s">
        <v>913</v>
      </c>
      <c r="K312" s="8" t="s">
        <v>913</v>
      </c>
      <c r="L312" s="8" t="s">
        <v>913</v>
      </c>
      <c r="M312" s="8" t="s">
        <v>913</v>
      </c>
      <c r="N312" s="8" t="s">
        <v>913</v>
      </c>
      <c r="O312" s="8" t="s">
        <v>913</v>
      </c>
      <c r="P312" s="8">
        <f t="shared" si="17"/>
        <v>0</v>
      </c>
      <c r="Q312" s="18" t="s">
        <v>914</v>
      </c>
      <c r="R312" s="9" t="s">
        <v>1212</v>
      </c>
    </row>
    <row r="313" spans="1:18" ht="40.5" x14ac:dyDescent="0.25">
      <c r="A313" s="136"/>
      <c r="B313" s="120"/>
      <c r="C313" s="9" t="s">
        <v>59</v>
      </c>
      <c r="D313" s="120"/>
      <c r="E313" s="120"/>
      <c r="F313" s="120"/>
      <c r="G313" s="120"/>
      <c r="H313" s="120"/>
      <c r="I313" s="120"/>
      <c r="J313" s="7" t="s">
        <v>913</v>
      </c>
      <c r="K313" s="8" t="s">
        <v>913</v>
      </c>
      <c r="L313" s="8" t="s">
        <v>913</v>
      </c>
      <c r="M313" s="8" t="s">
        <v>913</v>
      </c>
      <c r="N313" s="8" t="s">
        <v>913</v>
      </c>
      <c r="O313" s="8" t="s">
        <v>913</v>
      </c>
      <c r="P313" s="8">
        <f t="shared" si="17"/>
        <v>0</v>
      </c>
      <c r="Q313" s="18" t="s">
        <v>1033</v>
      </c>
      <c r="R313" s="18" t="s">
        <v>1033</v>
      </c>
    </row>
    <row r="314" spans="1:18" ht="54" x14ac:dyDescent="0.25">
      <c r="A314" s="136"/>
      <c r="B314" s="120"/>
      <c r="C314" s="9" t="s">
        <v>60</v>
      </c>
      <c r="D314" s="120"/>
      <c r="E314" s="120"/>
      <c r="F314" s="120"/>
      <c r="G314" s="120"/>
      <c r="H314" s="120"/>
      <c r="I314" s="120"/>
      <c r="J314" s="7" t="s">
        <v>913</v>
      </c>
      <c r="K314" s="7" t="s">
        <v>913</v>
      </c>
      <c r="L314" s="8">
        <v>942000</v>
      </c>
      <c r="M314" s="8" t="s">
        <v>913</v>
      </c>
      <c r="N314" s="8" t="s">
        <v>913</v>
      </c>
      <c r="O314" s="8" t="s">
        <v>913</v>
      </c>
      <c r="P314" s="8">
        <f t="shared" si="17"/>
        <v>942000</v>
      </c>
      <c r="Q314" s="19" t="s">
        <v>923</v>
      </c>
      <c r="R314" s="9" t="s">
        <v>1220</v>
      </c>
    </row>
    <row r="315" spans="1:18" ht="40.5" x14ac:dyDescent="0.25">
      <c r="A315" s="136"/>
      <c r="B315" s="120"/>
      <c r="C315" s="9" t="s">
        <v>64</v>
      </c>
      <c r="D315" s="120"/>
      <c r="E315" s="120"/>
      <c r="F315" s="120"/>
      <c r="G315" s="120"/>
      <c r="H315" s="120"/>
      <c r="I315" s="120"/>
      <c r="J315" s="7" t="s">
        <v>913</v>
      </c>
      <c r="K315" s="8" t="s">
        <v>913</v>
      </c>
      <c r="L315" s="8" t="s">
        <v>913</v>
      </c>
      <c r="M315" s="8" t="s">
        <v>913</v>
      </c>
      <c r="N315" s="8" t="s">
        <v>913</v>
      </c>
      <c r="O315" s="8" t="s">
        <v>913</v>
      </c>
      <c r="P315" s="8">
        <f t="shared" si="17"/>
        <v>0</v>
      </c>
      <c r="Q315" s="18" t="s">
        <v>1034</v>
      </c>
      <c r="R315" s="18" t="s">
        <v>1034</v>
      </c>
    </row>
    <row r="316" spans="1:18" ht="40.5" x14ac:dyDescent="0.25">
      <c r="A316" s="136"/>
      <c r="B316" s="120"/>
      <c r="C316" s="9" t="s">
        <v>65</v>
      </c>
      <c r="D316" s="120"/>
      <c r="E316" s="120"/>
      <c r="F316" s="120"/>
      <c r="G316" s="120"/>
      <c r="H316" s="120"/>
      <c r="I316" s="120"/>
      <c r="J316" s="7" t="s">
        <v>913</v>
      </c>
      <c r="K316" s="8" t="s">
        <v>913</v>
      </c>
      <c r="L316" s="8" t="s">
        <v>913</v>
      </c>
      <c r="M316" s="8" t="s">
        <v>913</v>
      </c>
      <c r="N316" s="8" t="s">
        <v>913</v>
      </c>
      <c r="O316" s="8" t="s">
        <v>913</v>
      </c>
      <c r="P316" s="8">
        <f t="shared" si="17"/>
        <v>0</v>
      </c>
      <c r="Q316" s="18" t="s">
        <v>1034</v>
      </c>
      <c r="R316" s="18" t="s">
        <v>1034</v>
      </c>
    </row>
    <row r="317" spans="1:18" ht="40.5" x14ac:dyDescent="0.25">
      <c r="A317" s="136"/>
      <c r="B317" s="120"/>
      <c r="C317" s="9" t="s">
        <v>66</v>
      </c>
      <c r="D317" s="120"/>
      <c r="E317" s="120"/>
      <c r="F317" s="120"/>
      <c r="G317" s="120"/>
      <c r="H317" s="120"/>
      <c r="I317" s="120"/>
      <c r="J317" s="7" t="s">
        <v>913</v>
      </c>
      <c r="K317" s="8" t="s">
        <v>913</v>
      </c>
      <c r="L317" s="8" t="s">
        <v>913</v>
      </c>
      <c r="M317" s="8" t="s">
        <v>913</v>
      </c>
      <c r="N317" s="8" t="s">
        <v>913</v>
      </c>
      <c r="O317" s="8" t="s">
        <v>913</v>
      </c>
      <c r="P317" s="8">
        <f t="shared" si="17"/>
        <v>0</v>
      </c>
      <c r="Q317" s="18" t="s">
        <v>914</v>
      </c>
      <c r="R317" s="9" t="s">
        <v>1212</v>
      </c>
    </row>
    <row r="318" spans="1:18" ht="54" x14ac:dyDescent="0.25">
      <c r="A318" s="173" t="s">
        <v>29</v>
      </c>
      <c r="B318" s="172" t="s">
        <v>571</v>
      </c>
      <c r="C318" s="9" t="s">
        <v>573</v>
      </c>
      <c r="D318" s="172" t="s">
        <v>576</v>
      </c>
      <c r="E318" s="172" t="s">
        <v>205</v>
      </c>
      <c r="F318" s="172" t="s">
        <v>206</v>
      </c>
      <c r="G318" s="173">
        <v>0</v>
      </c>
      <c r="H318" s="172" t="s">
        <v>758</v>
      </c>
      <c r="I318" s="172" t="s">
        <v>575</v>
      </c>
      <c r="J318" s="7" t="s">
        <v>913</v>
      </c>
      <c r="K318" s="7" t="s">
        <v>913</v>
      </c>
      <c r="L318" s="16">
        <f>5000*1.04</f>
        <v>5200</v>
      </c>
      <c r="M318" s="8" t="s">
        <v>913</v>
      </c>
      <c r="N318" s="8" t="s">
        <v>913</v>
      </c>
      <c r="O318" s="8" t="s">
        <v>913</v>
      </c>
      <c r="P318" s="8">
        <f t="shared" si="17"/>
        <v>5200</v>
      </c>
      <c r="Q318" s="19" t="s">
        <v>1021</v>
      </c>
      <c r="R318" s="9" t="s">
        <v>1211</v>
      </c>
    </row>
    <row r="319" spans="1:18" ht="54" x14ac:dyDescent="0.25">
      <c r="A319" s="173"/>
      <c r="B319" s="172"/>
      <c r="C319" s="9" t="s">
        <v>62</v>
      </c>
      <c r="D319" s="172"/>
      <c r="E319" s="172"/>
      <c r="F319" s="172"/>
      <c r="G319" s="173"/>
      <c r="H319" s="172"/>
      <c r="I319" s="172"/>
      <c r="J319" s="7" t="s">
        <v>913</v>
      </c>
      <c r="K319" s="7" t="s">
        <v>913</v>
      </c>
      <c r="L319" s="16">
        <f>5000*1.04</f>
        <v>5200</v>
      </c>
      <c r="M319" s="8" t="s">
        <v>913</v>
      </c>
      <c r="N319" s="8" t="s">
        <v>913</v>
      </c>
      <c r="O319" s="8" t="s">
        <v>913</v>
      </c>
      <c r="P319" s="8">
        <f t="shared" si="17"/>
        <v>5200</v>
      </c>
      <c r="Q319" s="19" t="s">
        <v>1021</v>
      </c>
      <c r="R319" s="9" t="s">
        <v>1211</v>
      </c>
    </row>
    <row r="320" spans="1:18" ht="67.5" x14ac:dyDescent="0.25">
      <c r="A320" s="173"/>
      <c r="B320" s="172"/>
      <c r="C320" s="9" t="s">
        <v>63</v>
      </c>
      <c r="D320" s="172"/>
      <c r="E320" s="172"/>
      <c r="F320" s="172"/>
      <c r="G320" s="173"/>
      <c r="H320" s="172"/>
      <c r="I320" s="172"/>
      <c r="J320" s="7" t="s">
        <v>913</v>
      </c>
      <c r="K320" s="8" t="s">
        <v>913</v>
      </c>
      <c r="L320" s="8" t="s">
        <v>913</v>
      </c>
      <c r="M320" s="8" t="s">
        <v>913</v>
      </c>
      <c r="N320" s="8" t="s">
        <v>913</v>
      </c>
      <c r="O320" s="8" t="s">
        <v>913</v>
      </c>
      <c r="P320" s="8">
        <f t="shared" si="17"/>
        <v>0</v>
      </c>
      <c r="Q320" s="18" t="s">
        <v>914</v>
      </c>
      <c r="R320" s="9" t="s">
        <v>1212</v>
      </c>
    </row>
    <row r="321" spans="1:18" ht="40.5" x14ac:dyDescent="0.25">
      <c r="A321" s="173"/>
      <c r="B321" s="172"/>
      <c r="C321" s="9" t="s">
        <v>574</v>
      </c>
      <c r="D321" s="172"/>
      <c r="E321" s="172"/>
      <c r="F321" s="172"/>
      <c r="G321" s="173"/>
      <c r="H321" s="172"/>
      <c r="I321" s="172"/>
      <c r="J321" s="7" t="s">
        <v>913</v>
      </c>
      <c r="K321" s="8" t="s">
        <v>913</v>
      </c>
      <c r="L321" s="8" t="s">
        <v>913</v>
      </c>
      <c r="M321" s="8" t="s">
        <v>913</v>
      </c>
      <c r="N321" s="8" t="s">
        <v>913</v>
      </c>
      <c r="O321" s="8" t="s">
        <v>913</v>
      </c>
      <c r="P321" s="8">
        <f t="shared" si="17"/>
        <v>0</v>
      </c>
      <c r="Q321" s="18" t="s">
        <v>914</v>
      </c>
      <c r="R321" s="9" t="s">
        <v>1212</v>
      </c>
    </row>
    <row r="322" spans="1:18" ht="27" x14ac:dyDescent="0.25">
      <c r="A322" s="173"/>
      <c r="B322" s="172"/>
      <c r="C322" s="9" t="s">
        <v>59</v>
      </c>
      <c r="D322" s="172"/>
      <c r="E322" s="172"/>
      <c r="F322" s="172"/>
      <c r="G322" s="173"/>
      <c r="H322" s="172"/>
      <c r="I322" s="172"/>
      <c r="J322" s="7" t="s">
        <v>913</v>
      </c>
      <c r="K322" s="8" t="s">
        <v>913</v>
      </c>
      <c r="L322" s="8" t="s">
        <v>913</v>
      </c>
      <c r="M322" s="8" t="s">
        <v>913</v>
      </c>
      <c r="N322" s="8" t="s">
        <v>913</v>
      </c>
      <c r="O322" s="8" t="s">
        <v>913</v>
      </c>
      <c r="P322" s="8">
        <f t="shared" si="17"/>
        <v>0</v>
      </c>
      <c r="Q322" s="18" t="s">
        <v>914</v>
      </c>
      <c r="R322" s="9" t="s">
        <v>1212</v>
      </c>
    </row>
    <row r="323" spans="1:18" ht="54" x14ac:dyDescent="0.25">
      <c r="A323" s="173"/>
      <c r="B323" s="172"/>
      <c r="C323" s="9" t="s">
        <v>60</v>
      </c>
      <c r="D323" s="172"/>
      <c r="E323" s="172"/>
      <c r="F323" s="172"/>
      <c r="G323" s="173"/>
      <c r="H323" s="172"/>
      <c r="I323" s="172"/>
      <c r="J323" s="7" t="s">
        <v>913</v>
      </c>
      <c r="K323" s="8" t="s">
        <v>913</v>
      </c>
      <c r="L323" s="8" t="s">
        <v>913</v>
      </c>
      <c r="M323" s="16">
        <f>288000</f>
        <v>288000</v>
      </c>
      <c r="N323" s="8" t="s">
        <v>913</v>
      </c>
      <c r="O323" s="8" t="s">
        <v>913</v>
      </c>
      <c r="P323" s="8">
        <f t="shared" si="17"/>
        <v>288000</v>
      </c>
      <c r="Q323" s="19" t="s">
        <v>923</v>
      </c>
      <c r="R323" s="9" t="s">
        <v>1211</v>
      </c>
    </row>
    <row r="324" spans="1:18" ht="27" x14ac:dyDescent="0.25">
      <c r="A324" s="173"/>
      <c r="B324" s="172"/>
      <c r="C324" s="9" t="s">
        <v>64</v>
      </c>
      <c r="D324" s="172"/>
      <c r="E324" s="172"/>
      <c r="F324" s="172"/>
      <c r="G324" s="173"/>
      <c r="H324" s="172"/>
      <c r="I324" s="172"/>
      <c r="J324" s="7" t="s">
        <v>913</v>
      </c>
      <c r="K324" s="8" t="s">
        <v>913</v>
      </c>
      <c r="L324" s="8" t="s">
        <v>913</v>
      </c>
      <c r="M324" s="8" t="s">
        <v>913</v>
      </c>
      <c r="N324" s="8" t="s">
        <v>913</v>
      </c>
      <c r="O324" s="8" t="s">
        <v>913</v>
      </c>
      <c r="P324" s="8">
        <f t="shared" si="17"/>
        <v>0</v>
      </c>
      <c r="Q324" s="18" t="s">
        <v>914</v>
      </c>
      <c r="R324" s="9" t="s">
        <v>1212</v>
      </c>
    </row>
    <row r="325" spans="1:18" ht="27" x14ac:dyDescent="0.25">
      <c r="A325" s="173"/>
      <c r="B325" s="172"/>
      <c r="C325" s="9" t="s">
        <v>65</v>
      </c>
      <c r="D325" s="172"/>
      <c r="E325" s="172"/>
      <c r="F325" s="172"/>
      <c r="G325" s="173"/>
      <c r="H325" s="172"/>
      <c r="I325" s="172"/>
      <c r="J325" s="7" t="s">
        <v>913</v>
      </c>
      <c r="K325" s="8" t="s">
        <v>913</v>
      </c>
      <c r="L325" s="8" t="s">
        <v>913</v>
      </c>
      <c r="M325" s="8" t="s">
        <v>913</v>
      </c>
      <c r="N325" s="8" t="s">
        <v>913</v>
      </c>
      <c r="O325" s="8" t="s">
        <v>913</v>
      </c>
      <c r="P325" s="8">
        <f t="shared" si="17"/>
        <v>0</v>
      </c>
      <c r="Q325" s="18" t="s">
        <v>914</v>
      </c>
      <c r="R325" s="9" t="s">
        <v>1212</v>
      </c>
    </row>
    <row r="326" spans="1:18" ht="27" x14ac:dyDescent="0.25">
      <c r="A326" s="136" t="s">
        <v>319</v>
      </c>
      <c r="B326" s="120" t="s">
        <v>1192</v>
      </c>
      <c r="C326" s="118" t="s">
        <v>1193</v>
      </c>
      <c r="D326" s="120" t="s">
        <v>1199</v>
      </c>
      <c r="E326" s="120" t="s">
        <v>73</v>
      </c>
      <c r="F326" s="120" t="s">
        <v>642</v>
      </c>
      <c r="G326" s="120">
        <v>0</v>
      </c>
      <c r="H326" s="120" t="s">
        <v>1230</v>
      </c>
      <c r="I326" s="120" t="s">
        <v>46</v>
      </c>
      <c r="J326" s="7" t="s">
        <v>913</v>
      </c>
      <c r="K326" s="8" t="s">
        <v>913</v>
      </c>
      <c r="L326" s="8" t="s">
        <v>913</v>
      </c>
      <c r="M326" s="8" t="s">
        <v>913</v>
      </c>
      <c r="N326" s="8" t="s">
        <v>913</v>
      </c>
      <c r="O326" s="8" t="s">
        <v>913</v>
      </c>
      <c r="P326" s="8">
        <f t="shared" si="17"/>
        <v>0</v>
      </c>
      <c r="Q326" s="18" t="s">
        <v>914</v>
      </c>
      <c r="R326" s="9" t="s">
        <v>1212</v>
      </c>
    </row>
    <row r="327" spans="1:18" ht="54" x14ac:dyDescent="0.25">
      <c r="A327" s="136"/>
      <c r="B327" s="120"/>
      <c r="C327" s="119"/>
      <c r="D327" s="120"/>
      <c r="E327" s="120"/>
      <c r="F327" s="120"/>
      <c r="G327" s="120"/>
      <c r="H327" s="120"/>
      <c r="I327" s="120"/>
      <c r="J327" s="7" t="s">
        <v>913</v>
      </c>
      <c r="K327" s="7" t="s">
        <v>913</v>
      </c>
      <c r="L327" s="10">
        <f>5000*1.04</f>
        <v>5200</v>
      </c>
      <c r="M327" s="8" t="s">
        <v>913</v>
      </c>
      <c r="N327" s="8" t="s">
        <v>913</v>
      </c>
      <c r="O327" s="8" t="s">
        <v>913</v>
      </c>
      <c r="P327" s="8">
        <f t="shared" si="17"/>
        <v>5200</v>
      </c>
      <c r="Q327" s="27" t="s">
        <v>1021</v>
      </c>
      <c r="R327" s="9" t="s">
        <v>1211</v>
      </c>
    </row>
    <row r="328" spans="1:18" ht="40.5" x14ac:dyDescent="0.25">
      <c r="A328" s="136"/>
      <c r="B328" s="120"/>
      <c r="C328" s="9" t="s">
        <v>1194</v>
      </c>
      <c r="D328" s="120"/>
      <c r="E328" s="120"/>
      <c r="F328" s="120"/>
      <c r="G328" s="120"/>
      <c r="H328" s="120"/>
      <c r="I328" s="120"/>
      <c r="J328" s="7" t="s">
        <v>913</v>
      </c>
      <c r="K328" s="8" t="s">
        <v>913</v>
      </c>
      <c r="L328" s="8" t="s">
        <v>913</v>
      </c>
      <c r="M328" s="8" t="s">
        <v>913</v>
      </c>
      <c r="N328" s="8" t="s">
        <v>913</v>
      </c>
      <c r="O328" s="8" t="s">
        <v>913</v>
      </c>
      <c r="P328" s="8">
        <f t="shared" si="17"/>
        <v>0</v>
      </c>
      <c r="Q328" s="18" t="s">
        <v>914</v>
      </c>
      <c r="R328" s="9" t="s">
        <v>1212</v>
      </c>
    </row>
    <row r="329" spans="1:18" ht="27" x14ac:dyDescent="0.25">
      <c r="A329" s="136"/>
      <c r="B329" s="120"/>
      <c r="C329" s="9" t="s">
        <v>1195</v>
      </c>
      <c r="D329" s="120"/>
      <c r="E329" s="120"/>
      <c r="F329" s="120"/>
      <c r="G329" s="120"/>
      <c r="H329" s="120"/>
      <c r="I329" s="120"/>
      <c r="J329" s="7" t="s">
        <v>913</v>
      </c>
      <c r="K329" s="8" t="s">
        <v>913</v>
      </c>
      <c r="L329" s="8" t="s">
        <v>913</v>
      </c>
      <c r="M329" s="8" t="s">
        <v>913</v>
      </c>
      <c r="N329" s="8" t="s">
        <v>913</v>
      </c>
      <c r="O329" s="8" t="s">
        <v>913</v>
      </c>
      <c r="P329" s="8">
        <f t="shared" si="17"/>
        <v>0</v>
      </c>
      <c r="Q329" s="18" t="s">
        <v>914</v>
      </c>
      <c r="R329" s="9" t="s">
        <v>1212</v>
      </c>
    </row>
    <row r="330" spans="1:18" ht="54" x14ac:dyDescent="0.25">
      <c r="A330" s="136"/>
      <c r="B330" s="120"/>
      <c r="C330" s="9" t="s">
        <v>1196</v>
      </c>
      <c r="D330" s="120"/>
      <c r="E330" s="120"/>
      <c r="F330" s="120"/>
      <c r="G330" s="120"/>
      <c r="H330" s="120"/>
      <c r="I330" s="120"/>
      <c r="J330" s="7" t="s">
        <v>913</v>
      </c>
      <c r="K330" s="8" t="s">
        <v>913</v>
      </c>
      <c r="L330" s="16">
        <f>+(70000/2)*1.04*1.04</f>
        <v>37856</v>
      </c>
      <c r="M330" s="16">
        <f>+L330*1.04</f>
        <v>39370.239999999998</v>
      </c>
      <c r="N330" s="8" t="s">
        <v>913</v>
      </c>
      <c r="O330" s="8" t="s">
        <v>913</v>
      </c>
      <c r="P330" s="8">
        <f t="shared" si="17"/>
        <v>77226.239999999991</v>
      </c>
      <c r="Q330" s="19" t="s">
        <v>923</v>
      </c>
      <c r="R330" s="9" t="s">
        <v>1211</v>
      </c>
    </row>
    <row r="331" spans="1:18" ht="40.5" x14ac:dyDescent="0.25">
      <c r="A331" s="136"/>
      <c r="B331" s="120"/>
      <c r="C331" s="9" t="s">
        <v>1197</v>
      </c>
      <c r="D331" s="120"/>
      <c r="E331" s="120"/>
      <c r="F331" s="120"/>
      <c r="G331" s="120"/>
      <c r="H331" s="120"/>
      <c r="I331" s="120"/>
      <c r="J331" s="7" t="s">
        <v>913</v>
      </c>
      <c r="K331" s="8" t="s">
        <v>913</v>
      </c>
      <c r="L331" s="8" t="s">
        <v>913</v>
      </c>
      <c r="M331" s="8" t="s">
        <v>913</v>
      </c>
      <c r="N331" s="8" t="s">
        <v>913</v>
      </c>
      <c r="O331" s="8" t="s">
        <v>913</v>
      </c>
      <c r="P331" s="8">
        <f t="shared" si="17"/>
        <v>0</v>
      </c>
      <c r="Q331" s="19" t="s">
        <v>1035</v>
      </c>
      <c r="R331" s="19" t="s">
        <v>1035</v>
      </c>
    </row>
    <row r="332" spans="1:18" ht="40.5" x14ac:dyDescent="0.25">
      <c r="A332" s="136"/>
      <c r="B332" s="120"/>
      <c r="C332" s="9" t="s">
        <v>1198</v>
      </c>
      <c r="D332" s="120"/>
      <c r="E332" s="120"/>
      <c r="F332" s="120"/>
      <c r="G332" s="120"/>
      <c r="H332" s="120"/>
      <c r="I332" s="120"/>
      <c r="J332" s="7" t="s">
        <v>913</v>
      </c>
      <c r="K332" s="8" t="s">
        <v>913</v>
      </c>
      <c r="L332" s="8" t="s">
        <v>913</v>
      </c>
      <c r="M332" s="8" t="s">
        <v>913</v>
      </c>
      <c r="N332" s="8" t="s">
        <v>913</v>
      </c>
      <c r="O332" s="8" t="s">
        <v>913</v>
      </c>
      <c r="P332" s="8">
        <f t="shared" si="17"/>
        <v>0</v>
      </c>
      <c r="Q332" s="19" t="s">
        <v>1035</v>
      </c>
      <c r="R332" s="19" t="s">
        <v>1035</v>
      </c>
    </row>
    <row r="333" spans="1:18" ht="81" x14ac:dyDescent="0.25">
      <c r="A333" s="136" t="s">
        <v>572</v>
      </c>
      <c r="B333" s="120" t="s">
        <v>1369</v>
      </c>
      <c r="C333" s="9" t="s">
        <v>1370</v>
      </c>
      <c r="D333" s="120" t="s">
        <v>1377</v>
      </c>
      <c r="E333" s="120" t="s">
        <v>1372</v>
      </c>
      <c r="F333" s="120" t="s">
        <v>1373</v>
      </c>
      <c r="G333" s="136">
        <v>0</v>
      </c>
      <c r="H333" s="136" t="s">
        <v>1251</v>
      </c>
      <c r="I333" s="136" t="s">
        <v>46</v>
      </c>
      <c r="J333" s="7" t="s">
        <v>913</v>
      </c>
      <c r="K333" s="7" t="s">
        <v>913</v>
      </c>
      <c r="L333" s="8" t="s">
        <v>913</v>
      </c>
      <c r="M333" s="8" t="s">
        <v>913</v>
      </c>
      <c r="N333" s="8" t="s">
        <v>913</v>
      </c>
      <c r="O333" s="8" t="s">
        <v>913</v>
      </c>
      <c r="P333" s="8">
        <f t="shared" si="17"/>
        <v>0</v>
      </c>
      <c r="Q333" s="18" t="s">
        <v>914</v>
      </c>
      <c r="R333" s="9" t="s">
        <v>1212</v>
      </c>
    </row>
    <row r="334" spans="1:18" ht="151.5" customHeight="1" x14ac:dyDescent="0.25">
      <c r="A334" s="136"/>
      <c r="B334" s="120"/>
      <c r="C334" s="9" t="s">
        <v>1371</v>
      </c>
      <c r="D334" s="120"/>
      <c r="E334" s="120"/>
      <c r="F334" s="120"/>
      <c r="G334" s="136"/>
      <c r="H334" s="136"/>
      <c r="I334" s="136"/>
      <c r="J334" s="7" t="s">
        <v>913</v>
      </c>
      <c r="K334" s="8" t="s">
        <v>913</v>
      </c>
      <c r="L334" s="8" t="s">
        <v>913</v>
      </c>
      <c r="M334" s="8" t="s">
        <v>913</v>
      </c>
      <c r="N334" s="8" t="s">
        <v>913</v>
      </c>
      <c r="O334" s="8" t="s">
        <v>913</v>
      </c>
      <c r="P334" s="8">
        <f t="shared" si="17"/>
        <v>0</v>
      </c>
      <c r="Q334" s="18" t="s">
        <v>914</v>
      </c>
      <c r="R334" s="9" t="s">
        <v>1212</v>
      </c>
    </row>
    <row r="335" spans="1:18" x14ac:dyDescent="0.25">
      <c r="A335" s="142" t="s">
        <v>402</v>
      </c>
      <c r="B335" s="143"/>
      <c r="C335" s="143"/>
      <c r="D335" s="143"/>
      <c r="E335" s="143"/>
      <c r="F335" s="143"/>
      <c r="G335" s="143"/>
      <c r="H335" s="143"/>
      <c r="I335" s="144"/>
      <c r="J335" s="77"/>
      <c r="K335" s="77"/>
      <c r="L335" s="77"/>
      <c r="M335" s="77"/>
      <c r="N335" s="77"/>
      <c r="O335" s="77"/>
      <c r="P335" s="78">
        <f>SUM(P292:P334)</f>
        <v>2659258.4960000003</v>
      </c>
      <c r="Q335" s="77"/>
      <c r="R335" s="79"/>
    </row>
    <row r="336" spans="1:18" ht="14.25" x14ac:dyDescent="0.25">
      <c r="A336" s="169" t="s">
        <v>19</v>
      </c>
      <c r="B336" s="170"/>
      <c r="C336" s="170"/>
      <c r="D336" s="170"/>
      <c r="E336" s="170"/>
      <c r="F336" s="170"/>
      <c r="G336" s="170"/>
      <c r="H336" s="170"/>
      <c r="I336" s="171"/>
      <c r="J336" s="80"/>
      <c r="K336" s="80"/>
      <c r="L336" s="80"/>
      <c r="M336" s="80"/>
      <c r="N336" s="80"/>
      <c r="O336" s="80"/>
      <c r="P336" s="80"/>
      <c r="Q336" s="80"/>
      <c r="R336" s="81"/>
    </row>
    <row r="337" spans="1:18" ht="67.5" x14ac:dyDescent="0.25">
      <c r="A337" s="136" t="s">
        <v>30</v>
      </c>
      <c r="B337" s="120" t="s">
        <v>68</v>
      </c>
      <c r="C337" s="9" t="s">
        <v>69</v>
      </c>
      <c r="D337" s="120" t="s">
        <v>689</v>
      </c>
      <c r="E337" s="120" t="s">
        <v>1038</v>
      </c>
      <c r="F337" s="141">
        <v>0.8</v>
      </c>
      <c r="G337" s="141">
        <v>0.1</v>
      </c>
      <c r="H337" s="120" t="s">
        <v>1250</v>
      </c>
      <c r="I337" s="120" t="s">
        <v>46</v>
      </c>
      <c r="J337" s="7" t="s">
        <v>913</v>
      </c>
      <c r="K337" s="7" t="s">
        <v>913</v>
      </c>
      <c r="L337" s="8" t="s">
        <v>913</v>
      </c>
      <c r="M337" s="8">
        <f>12000*1.04*1.04</f>
        <v>12979.2</v>
      </c>
      <c r="N337" s="8" t="s">
        <v>913</v>
      </c>
      <c r="O337" s="8" t="s">
        <v>913</v>
      </c>
      <c r="P337" s="8">
        <f t="shared" ref="P337:P367" si="18">SUM(J337:O337)</f>
        <v>12979.2</v>
      </c>
      <c r="Q337" s="18" t="s">
        <v>1021</v>
      </c>
      <c r="R337" s="9" t="s">
        <v>1211</v>
      </c>
    </row>
    <row r="338" spans="1:18" ht="67.5" x14ac:dyDescent="0.25">
      <c r="A338" s="136"/>
      <c r="B338" s="120"/>
      <c r="C338" s="9" t="s">
        <v>70</v>
      </c>
      <c r="D338" s="120"/>
      <c r="E338" s="120"/>
      <c r="F338" s="141"/>
      <c r="G338" s="141"/>
      <c r="H338" s="120"/>
      <c r="I338" s="120"/>
      <c r="J338" s="7" t="s">
        <v>913</v>
      </c>
      <c r="K338" s="8" t="s">
        <v>913</v>
      </c>
      <c r="L338" s="8" t="s">
        <v>913</v>
      </c>
      <c r="M338" s="8" t="s">
        <v>913</v>
      </c>
      <c r="N338" s="8" t="s">
        <v>913</v>
      </c>
      <c r="O338" s="8" t="s">
        <v>913</v>
      </c>
      <c r="P338" s="8">
        <f t="shared" si="18"/>
        <v>0</v>
      </c>
      <c r="Q338" s="18" t="s">
        <v>1036</v>
      </c>
      <c r="R338" s="18" t="s">
        <v>1036</v>
      </c>
    </row>
    <row r="339" spans="1:18" ht="121.5" x14ac:dyDescent="0.25">
      <c r="A339" s="136"/>
      <c r="B339" s="120"/>
      <c r="C339" s="9" t="s">
        <v>1039</v>
      </c>
      <c r="D339" s="120"/>
      <c r="E339" s="120"/>
      <c r="F339" s="141"/>
      <c r="G339" s="141"/>
      <c r="H339" s="120"/>
      <c r="I339" s="120"/>
      <c r="J339" s="7" t="s">
        <v>913</v>
      </c>
      <c r="K339" s="8" t="s">
        <v>913</v>
      </c>
      <c r="L339" s="8" t="s">
        <v>913</v>
      </c>
      <c r="M339" s="8">
        <f>184000*1.04</f>
        <v>191360</v>
      </c>
      <c r="N339" s="8" t="s">
        <v>913</v>
      </c>
      <c r="O339" s="8" t="s">
        <v>913</v>
      </c>
      <c r="P339" s="8">
        <f t="shared" si="18"/>
        <v>191360</v>
      </c>
      <c r="Q339" s="18" t="s">
        <v>1021</v>
      </c>
      <c r="R339" s="9" t="s">
        <v>1211</v>
      </c>
    </row>
    <row r="340" spans="1:18" ht="94.5" x14ac:dyDescent="0.25">
      <c r="A340" s="136"/>
      <c r="B340" s="120"/>
      <c r="C340" s="9" t="s">
        <v>74</v>
      </c>
      <c r="D340" s="120"/>
      <c r="E340" s="120"/>
      <c r="F340" s="141"/>
      <c r="G340" s="141"/>
      <c r="H340" s="120"/>
      <c r="I340" s="120"/>
      <c r="J340" s="7" t="s">
        <v>913</v>
      </c>
      <c r="K340" s="8" t="s">
        <v>913</v>
      </c>
      <c r="L340" s="8" t="s">
        <v>913</v>
      </c>
      <c r="M340" s="8" t="s">
        <v>913</v>
      </c>
      <c r="N340" s="8" t="s">
        <v>913</v>
      </c>
      <c r="O340" s="8" t="s">
        <v>913</v>
      </c>
      <c r="P340" s="8">
        <f t="shared" si="18"/>
        <v>0</v>
      </c>
      <c r="Q340" s="18" t="s">
        <v>1037</v>
      </c>
      <c r="R340" s="18" t="s">
        <v>1037</v>
      </c>
    </row>
    <row r="341" spans="1:18" ht="99" customHeight="1" x14ac:dyDescent="0.25">
      <c r="A341" s="136"/>
      <c r="B341" s="120"/>
      <c r="C341" s="9" t="s">
        <v>75</v>
      </c>
      <c r="D341" s="120"/>
      <c r="E341" s="120"/>
      <c r="F341" s="141"/>
      <c r="G341" s="141"/>
      <c r="H341" s="120"/>
      <c r="I341" s="120"/>
      <c r="J341" s="7" t="s">
        <v>913</v>
      </c>
      <c r="K341" s="8" t="s">
        <v>913</v>
      </c>
      <c r="L341" s="8" t="s">
        <v>913</v>
      </c>
      <c r="M341" s="8" t="s">
        <v>913</v>
      </c>
      <c r="N341" s="8" t="s">
        <v>913</v>
      </c>
      <c r="O341" s="8" t="s">
        <v>913</v>
      </c>
      <c r="P341" s="8">
        <f t="shared" si="18"/>
        <v>0</v>
      </c>
      <c r="Q341" s="18" t="s">
        <v>914</v>
      </c>
      <c r="R341" s="9" t="s">
        <v>1212</v>
      </c>
    </row>
    <row r="342" spans="1:18" ht="54" x14ac:dyDescent="0.25">
      <c r="A342" s="120" t="s">
        <v>31</v>
      </c>
      <c r="B342" s="120" t="s">
        <v>351</v>
      </c>
      <c r="C342" s="9" t="s">
        <v>202</v>
      </c>
      <c r="D342" s="120" t="s">
        <v>695</v>
      </c>
      <c r="E342" s="120" t="s">
        <v>76</v>
      </c>
      <c r="F342" s="120" t="s">
        <v>67</v>
      </c>
      <c r="G342" s="120">
        <v>0</v>
      </c>
      <c r="H342" s="120" t="s">
        <v>1243</v>
      </c>
      <c r="I342" s="120" t="s">
        <v>46</v>
      </c>
      <c r="J342" s="7" t="s">
        <v>913</v>
      </c>
      <c r="K342" s="7" t="s">
        <v>913</v>
      </c>
      <c r="L342" s="8">
        <f>25000*1.04</f>
        <v>26000</v>
      </c>
      <c r="M342" s="8" t="s">
        <v>913</v>
      </c>
      <c r="N342" s="8" t="s">
        <v>913</v>
      </c>
      <c r="O342" s="8" t="s">
        <v>913</v>
      </c>
      <c r="P342" s="8">
        <f t="shared" si="18"/>
        <v>26000</v>
      </c>
      <c r="Q342" s="18" t="s">
        <v>1021</v>
      </c>
      <c r="R342" s="9" t="s">
        <v>1211</v>
      </c>
    </row>
    <row r="343" spans="1:18" ht="67.5" x14ac:dyDescent="0.25">
      <c r="A343" s="120"/>
      <c r="B343" s="120"/>
      <c r="C343" s="9" t="s">
        <v>148</v>
      </c>
      <c r="D343" s="120"/>
      <c r="E343" s="120"/>
      <c r="F343" s="120"/>
      <c r="G343" s="120"/>
      <c r="H343" s="120"/>
      <c r="I343" s="120"/>
      <c r="J343" s="7" t="s">
        <v>913</v>
      </c>
      <c r="K343" s="7" t="s">
        <v>913</v>
      </c>
      <c r="L343" s="8">
        <f>5000*1.04</f>
        <v>5200</v>
      </c>
      <c r="M343" s="8" t="s">
        <v>913</v>
      </c>
      <c r="N343" s="8" t="s">
        <v>913</v>
      </c>
      <c r="O343" s="8" t="s">
        <v>913</v>
      </c>
      <c r="P343" s="8">
        <f t="shared" si="18"/>
        <v>5200</v>
      </c>
      <c r="Q343" s="19" t="s">
        <v>1040</v>
      </c>
      <c r="R343" s="9" t="s">
        <v>1211</v>
      </c>
    </row>
    <row r="344" spans="1:18" ht="81" x14ac:dyDescent="0.25">
      <c r="A344" s="120"/>
      <c r="B344" s="120"/>
      <c r="C344" s="9" t="s">
        <v>203</v>
      </c>
      <c r="D344" s="120"/>
      <c r="E344" s="120"/>
      <c r="F344" s="120"/>
      <c r="G344" s="120"/>
      <c r="H344" s="120"/>
      <c r="I344" s="120"/>
      <c r="J344" s="7" t="s">
        <v>913</v>
      </c>
      <c r="K344" s="7" t="s">
        <v>913</v>
      </c>
      <c r="L344" s="8">
        <f>15000*1.04</f>
        <v>15600</v>
      </c>
      <c r="M344" s="8" t="s">
        <v>913</v>
      </c>
      <c r="N344" s="8" t="s">
        <v>913</v>
      </c>
      <c r="O344" s="8" t="s">
        <v>913</v>
      </c>
      <c r="P344" s="8">
        <f t="shared" si="18"/>
        <v>15600</v>
      </c>
      <c r="Q344" s="18" t="s">
        <v>1021</v>
      </c>
      <c r="R344" s="9" t="s">
        <v>1211</v>
      </c>
    </row>
    <row r="345" spans="1:18" ht="40.5" x14ac:dyDescent="0.25">
      <c r="A345" s="120"/>
      <c r="B345" s="120"/>
      <c r="C345" s="9" t="s">
        <v>149</v>
      </c>
      <c r="D345" s="120"/>
      <c r="E345" s="120"/>
      <c r="F345" s="120"/>
      <c r="G345" s="120"/>
      <c r="H345" s="120"/>
      <c r="I345" s="120"/>
      <c r="J345" s="7" t="s">
        <v>913</v>
      </c>
      <c r="K345" s="8" t="s">
        <v>913</v>
      </c>
      <c r="L345" s="8" t="s">
        <v>913</v>
      </c>
      <c r="M345" s="8" t="s">
        <v>913</v>
      </c>
      <c r="N345" s="8" t="s">
        <v>913</v>
      </c>
      <c r="O345" s="8" t="s">
        <v>913</v>
      </c>
      <c r="P345" s="8">
        <f t="shared" si="18"/>
        <v>0</v>
      </c>
      <c r="Q345" s="19" t="s">
        <v>1041</v>
      </c>
      <c r="R345" s="19" t="s">
        <v>1041</v>
      </c>
    </row>
    <row r="346" spans="1:18" ht="67.5" x14ac:dyDescent="0.25">
      <c r="A346" s="120"/>
      <c r="B346" s="120"/>
      <c r="C346" s="9" t="s">
        <v>98</v>
      </c>
      <c r="D346" s="120"/>
      <c r="E346" s="120"/>
      <c r="F346" s="120"/>
      <c r="G346" s="120"/>
      <c r="H346" s="120"/>
      <c r="I346" s="120"/>
      <c r="J346" s="7" t="s">
        <v>913</v>
      </c>
      <c r="K346" s="8" t="s">
        <v>913</v>
      </c>
      <c r="L346" s="8" t="s">
        <v>913</v>
      </c>
      <c r="M346" s="8" t="s">
        <v>913</v>
      </c>
      <c r="N346" s="8" t="s">
        <v>913</v>
      </c>
      <c r="O346" s="8" t="s">
        <v>913</v>
      </c>
      <c r="P346" s="8">
        <f t="shared" si="18"/>
        <v>0</v>
      </c>
      <c r="Q346" s="18" t="s">
        <v>914</v>
      </c>
      <c r="R346" s="9" t="s">
        <v>1212</v>
      </c>
    </row>
    <row r="347" spans="1:18" ht="40.5" x14ac:dyDescent="0.25">
      <c r="A347" s="120"/>
      <c r="B347" s="120"/>
      <c r="C347" s="9" t="s">
        <v>637</v>
      </c>
      <c r="D347" s="120"/>
      <c r="E347" s="120"/>
      <c r="F347" s="120"/>
      <c r="G347" s="120"/>
      <c r="H347" s="120"/>
      <c r="I347" s="120"/>
      <c r="J347" s="7" t="s">
        <v>913</v>
      </c>
      <c r="K347" s="8" t="s">
        <v>913</v>
      </c>
      <c r="L347" s="8" t="s">
        <v>913</v>
      </c>
      <c r="M347" s="8" t="s">
        <v>913</v>
      </c>
      <c r="N347" s="8" t="s">
        <v>913</v>
      </c>
      <c r="O347" s="8" t="s">
        <v>913</v>
      </c>
      <c r="P347" s="8">
        <f t="shared" si="18"/>
        <v>0</v>
      </c>
      <c r="Q347" s="18" t="s">
        <v>914</v>
      </c>
      <c r="R347" s="9" t="s">
        <v>1212</v>
      </c>
    </row>
    <row r="348" spans="1:18" ht="27" x14ac:dyDescent="0.25">
      <c r="A348" s="120"/>
      <c r="B348" s="120"/>
      <c r="C348" s="9" t="s">
        <v>150</v>
      </c>
      <c r="D348" s="120"/>
      <c r="E348" s="120"/>
      <c r="F348" s="120"/>
      <c r="G348" s="120"/>
      <c r="H348" s="120"/>
      <c r="I348" s="120"/>
      <c r="J348" s="7" t="s">
        <v>913</v>
      </c>
      <c r="K348" s="8" t="s">
        <v>913</v>
      </c>
      <c r="L348" s="8" t="s">
        <v>913</v>
      </c>
      <c r="M348" s="8" t="s">
        <v>913</v>
      </c>
      <c r="N348" s="8" t="s">
        <v>913</v>
      </c>
      <c r="O348" s="8" t="s">
        <v>913</v>
      </c>
      <c r="P348" s="8">
        <f t="shared" si="18"/>
        <v>0</v>
      </c>
      <c r="Q348" s="18" t="s">
        <v>914</v>
      </c>
      <c r="R348" s="9" t="s">
        <v>1212</v>
      </c>
    </row>
    <row r="349" spans="1:18" ht="54" x14ac:dyDescent="0.25">
      <c r="A349" s="120"/>
      <c r="B349" s="120"/>
      <c r="C349" s="9" t="s">
        <v>100</v>
      </c>
      <c r="D349" s="120"/>
      <c r="E349" s="120"/>
      <c r="F349" s="120"/>
      <c r="G349" s="120"/>
      <c r="H349" s="120"/>
      <c r="I349" s="120"/>
      <c r="J349" s="7" t="s">
        <v>913</v>
      </c>
      <c r="K349" s="7" t="s">
        <v>913</v>
      </c>
      <c r="L349" s="7" t="s">
        <v>913</v>
      </c>
      <c r="M349" s="8">
        <f>+(200000)*1.04*1.04*1.04</f>
        <v>224972.80000000002</v>
      </c>
      <c r="N349" s="8">
        <f>+M349*1.04</f>
        <v>233971.71200000003</v>
      </c>
      <c r="O349" s="8">
        <f>+N349*1.04</f>
        <v>243330.58048000003</v>
      </c>
      <c r="P349" s="8">
        <f t="shared" si="18"/>
        <v>702275.09248000011</v>
      </c>
      <c r="Q349" s="19" t="s">
        <v>923</v>
      </c>
      <c r="R349" s="9" t="s">
        <v>1211</v>
      </c>
    </row>
    <row r="350" spans="1:18" ht="40.5" x14ac:dyDescent="0.25">
      <c r="A350" s="120"/>
      <c r="B350" s="120"/>
      <c r="C350" s="9" t="s">
        <v>101</v>
      </c>
      <c r="D350" s="120"/>
      <c r="E350" s="120"/>
      <c r="F350" s="120"/>
      <c r="G350" s="120"/>
      <c r="H350" s="120"/>
      <c r="I350" s="120"/>
      <c r="J350" s="7" t="s">
        <v>913</v>
      </c>
      <c r="K350" s="8" t="s">
        <v>913</v>
      </c>
      <c r="L350" s="8" t="s">
        <v>913</v>
      </c>
      <c r="M350" s="8" t="s">
        <v>913</v>
      </c>
      <c r="N350" s="8" t="s">
        <v>913</v>
      </c>
      <c r="O350" s="8" t="s">
        <v>913</v>
      </c>
      <c r="P350" s="8">
        <f t="shared" si="18"/>
        <v>0</v>
      </c>
      <c r="Q350" s="19" t="s">
        <v>1042</v>
      </c>
      <c r="R350" s="19" t="s">
        <v>1042</v>
      </c>
    </row>
    <row r="351" spans="1:18" ht="40.5" x14ac:dyDescent="0.25">
      <c r="A351" s="120"/>
      <c r="B351" s="120"/>
      <c r="C351" s="9" t="s">
        <v>102</v>
      </c>
      <c r="D351" s="120"/>
      <c r="E351" s="120"/>
      <c r="F351" s="120"/>
      <c r="G351" s="120"/>
      <c r="H351" s="120"/>
      <c r="I351" s="120"/>
      <c r="J351" s="7" t="s">
        <v>913</v>
      </c>
      <c r="K351" s="8" t="s">
        <v>913</v>
      </c>
      <c r="L351" s="8" t="s">
        <v>913</v>
      </c>
      <c r="M351" s="8" t="s">
        <v>913</v>
      </c>
      <c r="N351" s="8" t="s">
        <v>913</v>
      </c>
      <c r="O351" s="8" t="s">
        <v>913</v>
      </c>
      <c r="P351" s="8">
        <f t="shared" si="18"/>
        <v>0</v>
      </c>
      <c r="Q351" s="19" t="s">
        <v>1042</v>
      </c>
      <c r="R351" s="19" t="s">
        <v>1042</v>
      </c>
    </row>
    <row r="352" spans="1:18" ht="54" x14ac:dyDescent="0.25">
      <c r="A352" s="120"/>
      <c r="B352" s="120"/>
      <c r="C352" s="9" t="s">
        <v>151</v>
      </c>
      <c r="D352" s="120"/>
      <c r="E352" s="120"/>
      <c r="F352" s="120"/>
      <c r="G352" s="120"/>
      <c r="H352" s="120"/>
      <c r="I352" s="120"/>
      <c r="J352" s="7" t="s">
        <v>913</v>
      </c>
      <c r="K352" s="8" t="s">
        <v>913</v>
      </c>
      <c r="L352" s="8" t="s">
        <v>913</v>
      </c>
      <c r="M352" s="8" t="s">
        <v>913</v>
      </c>
      <c r="N352" s="8" t="s">
        <v>913</v>
      </c>
      <c r="O352" s="8" t="s">
        <v>913</v>
      </c>
      <c r="P352" s="8">
        <f t="shared" si="18"/>
        <v>0</v>
      </c>
      <c r="Q352" s="18" t="s">
        <v>914</v>
      </c>
      <c r="R352" s="9" t="s">
        <v>1212</v>
      </c>
    </row>
    <row r="353" spans="1:18" ht="67.5" x14ac:dyDescent="0.25">
      <c r="A353" s="120" t="s">
        <v>321</v>
      </c>
      <c r="B353" s="120" t="s">
        <v>24</v>
      </c>
      <c r="C353" s="9" t="s">
        <v>77</v>
      </c>
      <c r="D353" s="120" t="s">
        <v>81</v>
      </c>
      <c r="E353" s="120" t="s">
        <v>79</v>
      </c>
      <c r="F353" s="120" t="s">
        <v>80</v>
      </c>
      <c r="G353" s="120">
        <v>0</v>
      </c>
      <c r="H353" s="172" t="s">
        <v>1245</v>
      </c>
      <c r="I353" s="120" t="s">
        <v>46</v>
      </c>
      <c r="J353" s="7" t="s">
        <v>913</v>
      </c>
      <c r="K353" s="7" t="s">
        <v>913</v>
      </c>
      <c r="L353" s="8">
        <f>18000*1.04</f>
        <v>18720</v>
      </c>
      <c r="M353" s="8" t="s">
        <v>913</v>
      </c>
      <c r="N353" s="8" t="s">
        <v>913</v>
      </c>
      <c r="O353" s="8" t="s">
        <v>913</v>
      </c>
      <c r="P353" s="8">
        <f t="shared" si="18"/>
        <v>18720</v>
      </c>
      <c r="Q353" s="18" t="s">
        <v>1021</v>
      </c>
      <c r="R353" s="9" t="s">
        <v>1211</v>
      </c>
    </row>
    <row r="354" spans="1:18" ht="54" x14ac:dyDescent="0.25">
      <c r="A354" s="120"/>
      <c r="B354" s="120"/>
      <c r="C354" s="9" t="s">
        <v>78</v>
      </c>
      <c r="D354" s="120"/>
      <c r="E354" s="120"/>
      <c r="F354" s="120"/>
      <c r="G354" s="120"/>
      <c r="H354" s="172"/>
      <c r="I354" s="120"/>
      <c r="J354" s="7" t="s">
        <v>913</v>
      </c>
      <c r="K354" s="8" t="s">
        <v>913</v>
      </c>
      <c r="L354" s="8" t="s">
        <v>913</v>
      </c>
      <c r="M354" s="8" t="s">
        <v>913</v>
      </c>
      <c r="N354" s="8" t="s">
        <v>913</v>
      </c>
      <c r="O354" s="8" t="s">
        <v>913</v>
      </c>
      <c r="P354" s="8">
        <f t="shared" si="18"/>
        <v>0</v>
      </c>
      <c r="Q354" s="18" t="s">
        <v>1043</v>
      </c>
      <c r="R354" s="18" t="s">
        <v>1043</v>
      </c>
    </row>
    <row r="355" spans="1:18" ht="67.5" x14ac:dyDescent="0.25">
      <c r="A355" s="120"/>
      <c r="B355" s="120"/>
      <c r="C355" s="9" t="s">
        <v>63</v>
      </c>
      <c r="D355" s="120"/>
      <c r="E355" s="120"/>
      <c r="F355" s="120"/>
      <c r="G355" s="120"/>
      <c r="H355" s="172"/>
      <c r="I355" s="120"/>
      <c r="J355" s="7" t="s">
        <v>913</v>
      </c>
      <c r="K355" s="8" t="s">
        <v>913</v>
      </c>
      <c r="L355" s="8" t="s">
        <v>913</v>
      </c>
      <c r="M355" s="8" t="s">
        <v>913</v>
      </c>
      <c r="N355" s="8" t="s">
        <v>913</v>
      </c>
      <c r="O355" s="8" t="s">
        <v>913</v>
      </c>
      <c r="P355" s="8">
        <f t="shared" si="18"/>
        <v>0</v>
      </c>
      <c r="Q355" s="18" t="s">
        <v>914</v>
      </c>
      <c r="R355" s="9" t="s">
        <v>1212</v>
      </c>
    </row>
    <row r="356" spans="1:18" ht="40.5" x14ac:dyDescent="0.25">
      <c r="A356" s="120"/>
      <c r="B356" s="120"/>
      <c r="C356" s="9" t="s">
        <v>636</v>
      </c>
      <c r="D356" s="120"/>
      <c r="E356" s="120"/>
      <c r="F356" s="120"/>
      <c r="G356" s="120"/>
      <c r="H356" s="172"/>
      <c r="I356" s="120"/>
      <c r="J356" s="7" t="s">
        <v>913</v>
      </c>
      <c r="K356" s="8" t="s">
        <v>913</v>
      </c>
      <c r="L356" s="8" t="s">
        <v>913</v>
      </c>
      <c r="M356" s="8" t="s">
        <v>913</v>
      </c>
      <c r="N356" s="8" t="s">
        <v>913</v>
      </c>
      <c r="O356" s="8" t="s">
        <v>913</v>
      </c>
      <c r="P356" s="8">
        <f t="shared" si="18"/>
        <v>0</v>
      </c>
      <c r="Q356" s="18" t="s">
        <v>914</v>
      </c>
      <c r="R356" s="9" t="s">
        <v>1212</v>
      </c>
    </row>
    <row r="357" spans="1:18" ht="54" x14ac:dyDescent="0.25">
      <c r="A357" s="120"/>
      <c r="B357" s="120"/>
      <c r="C357" s="9" t="s">
        <v>59</v>
      </c>
      <c r="D357" s="120"/>
      <c r="E357" s="120"/>
      <c r="F357" s="120"/>
      <c r="G357" s="120"/>
      <c r="H357" s="172"/>
      <c r="I357" s="120"/>
      <c r="J357" s="7" t="s">
        <v>913</v>
      </c>
      <c r="K357" s="8" t="s">
        <v>913</v>
      </c>
      <c r="L357" s="16">
        <f>35000*1.04</f>
        <v>36400</v>
      </c>
      <c r="M357" s="8" t="s">
        <v>913</v>
      </c>
      <c r="N357" s="8" t="s">
        <v>913</v>
      </c>
      <c r="O357" s="8" t="s">
        <v>913</v>
      </c>
      <c r="P357" s="8">
        <f t="shared" si="18"/>
        <v>36400</v>
      </c>
      <c r="Q357" s="19" t="s">
        <v>1021</v>
      </c>
      <c r="R357" s="9" t="s">
        <v>1211</v>
      </c>
    </row>
    <row r="358" spans="1:18" ht="54" x14ac:dyDescent="0.25">
      <c r="A358" s="120"/>
      <c r="B358" s="120"/>
      <c r="C358" s="9" t="s">
        <v>60</v>
      </c>
      <c r="D358" s="120"/>
      <c r="E358" s="120"/>
      <c r="F358" s="120"/>
      <c r="G358" s="120"/>
      <c r="H358" s="172"/>
      <c r="I358" s="120"/>
      <c r="J358" s="7" t="s">
        <v>913</v>
      </c>
      <c r="K358" s="8" t="s">
        <v>913</v>
      </c>
      <c r="L358" s="7" t="s">
        <v>913</v>
      </c>
      <c r="M358" s="16">
        <f>280000*1.04</f>
        <v>291200</v>
      </c>
      <c r="N358" s="8" t="s">
        <v>913</v>
      </c>
      <c r="O358" s="8" t="s">
        <v>913</v>
      </c>
      <c r="P358" s="8">
        <f t="shared" si="18"/>
        <v>291200</v>
      </c>
      <c r="Q358" s="19" t="s">
        <v>923</v>
      </c>
      <c r="R358" s="9" t="s">
        <v>1211</v>
      </c>
    </row>
    <row r="359" spans="1:18" ht="40.5" x14ac:dyDescent="0.25">
      <c r="A359" s="120"/>
      <c r="B359" s="120"/>
      <c r="C359" s="9" t="s">
        <v>64</v>
      </c>
      <c r="D359" s="120"/>
      <c r="E359" s="120"/>
      <c r="F359" s="120"/>
      <c r="G359" s="120"/>
      <c r="H359" s="172"/>
      <c r="I359" s="120"/>
      <c r="J359" s="7" t="s">
        <v>913</v>
      </c>
      <c r="K359" s="8" t="s">
        <v>913</v>
      </c>
      <c r="L359" s="8" t="s">
        <v>913</v>
      </c>
      <c r="M359" s="8" t="s">
        <v>913</v>
      </c>
      <c r="N359" s="8" t="s">
        <v>913</v>
      </c>
      <c r="O359" s="8" t="s">
        <v>913</v>
      </c>
      <c r="P359" s="8">
        <f t="shared" si="18"/>
        <v>0</v>
      </c>
      <c r="Q359" s="19" t="s">
        <v>1044</v>
      </c>
      <c r="R359" s="19" t="s">
        <v>1044</v>
      </c>
    </row>
    <row r="360" spans="1:18" ht="40.5" x14ac:dyDescent="0.25">
      <c r="A360" s="120"/>
      <c r="B360" s="120"/>
      <c r="C360" s="9" t="s">
        <v>65</v>
      </c>
      <c r="D360" s="120"/>
      <c r="E360" s="120"/>
      <c r="F360" s="120"/>
      <c r="G360" s="120"/>
      <c r="H360" s="172"/>
      <c r="I360" s="120"/>
      <c r="J360" s="7" t="s">
        <v>913</v>
      </c>
      <c r="K360" s="8" t="s">
        <v>913</v>
      </c>
      <c r="L360" s="8" t="s">
        <v>913</v>
      </c>
      <c r="M360" s="8" t="s">
        <v>913</v>
      </c>
      <c r="N360" s="8" t="s">
        <v>913</v>
      </c>
      <c r="O360" s="8" t="s">
        <v>913</v>
      </c>
      <c r="P360" s="8">
        <f t="shared" si="18"/>
        <v>0</v>
      </c>
      <c r="Q360" s="19" t="s">
        <v>1044</v>
      </c>
      <c r="R360" s="19" t="s">
        <v>1044</v>
      </c>
    </row>
    <row r="361" spans="1:18" ht="40.5" x14ac:dyDescent="0.25">
      <c r="A361" s="120"/>
      <c r="B361" s="120"/>
      <c r="C361" s="9" t="s">
        <v>66</v>
      </c>
      <c r="D361" s="120"/>
      <c r="E361" s="120"/>
      <c r="F361" s="120"/>
      <c r="G361" s="120"/>
      <c r="H361" s="172"/>
      <c r="I361" s="120"/>
      <c r="J361" s="7" t="s">
        <v>913</v>
      </c>
      <c r="K361" s="8" t="s">
        <v>913</v>
      </c>
      <c r="L361" s="8" t="s">
        <v>913</v>
      </c>
      <c r="M361" s="8" t="s">
        <v>913</v>
      </c>
      <c r="N361" s="8" t="s">
        <v>913</v>
      </c>
      <c r="O361" s="8" t="s">
        <v>913</v>
      </c>
      <c r="P361" s="8">
        <f t="shared" si="18"/>
        <v>0</v>
      </c>
      <c r="Q361" s="18" t="s">
        <v>914</v>
      </c>
      <c r="R361" s="9" t="s">
        <v>1212</v>
      </c>
    </row>
    <row r="362" spans="1:18" ht="94.5" x14ac:dyDescent="0.25">
      <c r="A362" s="120" t="s">
        <v>32</v>
      </c>
      <c r="B362" s="120" t="s">
        <v>446</v>
      </c>
      <c r="C362" s="9" t="s">
        <v>193</v>
      </c>
      <c r="D362" s="120" t="s">
        <v>696</v>
      </c>
      <c r="E362" s="120" t="s">
        <v>83</v>
      </c>
      <c r="F362" s="120" t="s">
        <v>1046</v>
      </c>
      <c r="G362" s="120">
        <v>0</v>
      </c>
      <c r="H362" s="120" t="s">
        <v>1249</v>
      </c>
      <c r="I362" s="120" t="s">
        <v>46</v>
      </c>
      <c r="J362" s="7" t="s">
        <v>913</v>
      </c>
      <c r="K362" s="8" t="s">
        <v>913</v>
      </c>
      <c r="L362" s="16">
        <f>80000*1.04</f>
        <v>83200</v>
      </c>
      <c r="M362" s="16" t="s">
        <v>913</v>
      </c>
      <c r="N362" s="8" t="s">
        <v>913</v>
      </c>
      <c r="O362" s="8" t="s">
        <v>913</v>
      </c>
      <c r="P362" s="8">
        <f t="shared" si="18"/>
        <v>83200</v>
      </c>
      <c r="Q362" s="18" t="s">
        <v>1021</v>
      </c>
      <c r="R362" s="9" t="s">
        <v>1211</v>
      </c>
    </row>
    <row r="363" spans="1:18" ht="67.5" x14ac:dyDescent="0.25">
      <c r="A363" s="120"/>
      <c r="B363" s="120"/>
      <c r="C363" s="9" t="s">
        <v>82</v>
      </c>
      <c r="D363" s="120"/>
      <c r="E363" s="120"/>
      <c r="F363" s="120"/>
      <c r="G363" s="120"/>
      <c r="H363" s="120"/>
      <c r="I363" s="120"/>
      <c r="J363" s="7" t="s">
        <v>913</v>
      </c>
      <c r="K363" s="8" t="s">
        <v>913</v>
      </c>
      <c r="L363" s="8" t="s">
        <v>913</v>
      </c>
      <c r="M363" s="8" t="s">
        <v>913</v>
      </c>
      <c r="N363" s="8" t="s">
        <v>913</v>
      </c>
      <c r="O363" s="8" t="s">
        <v>913</v>
      </c>
      <c r="P363" s="8">
        <f t="shared" si="18"/>
        <v>0</v>
      </c>
      <c r="Q363" s="18" t="s">
        <v>1045</v>
      </c>
      <c r="R363" s="18" t="s">
        <v>1045</v>
      </c>
    </row>
    <row r="364" spans="1:18" ht="81" x14ac:dyDescent="0.25">
      <c r="A364" s="120"/>
      <c r="B364" s="120"/>
      <c r="C364" s="9" t="s">
        <v>1047</v>
      </c>
      <c r="D364" s="120"/>
      <c r="E364" s="120"/>
      <c r="F364" s="120"/>
      <c r="G364" s="120"/>
      <c r="H364" s="120"/>
      <c r="I364" s="120"/>
      <c r="J364" s="7" t="s">
        <v>913</v>
      </c>
      <c r="K364" s="8" t="s">
        <v>913</v>
      </c>
      <c r="L364" s="8" t="s">
        <v>913</v>
      </c>
      <c r="M364" s="8" t="s">
        <v>913</v>
      </c>
      <c r="N364" s="8" t="s">
        <v>913</v>
      </c>
      <c r="O364" s="8" t="s">
        <v>913</v>
      </c>
      <c r="P364" s="8">
        <f t="shared" si="18"/>
        <v>0</v>
      </c>
      <c r="Q364" s="18" t="s">
        <v>1045</v>
      </c>
      <c r="R364" s="18" t="s">
        <v>1045</v>
      </c>
    </row>
    <row r="365" spans="1:18" ht="81" x14ac:dyDescent="0.25">
      <c r="A365" s="120" t="s">
        <v>33</v>
      </c>
      <c r="B365" s="120" t="s">
        <v>447</v>
      </c>
      <c r="C365" s="9" t="s">
        <v>84</v>
      </c>
      <c r="D365" s="120" t="s">
        <v>445</v>
      </c>
      <c r="E365" s="120" t="s">
        <v>87</v>
      </c>
      <c r="F365" s="120" t="s">
        <v>88</v>
      </c>
      <c r="G365" s="120">
        <v>0</v>
      </c>
      <c r="H365" s="120" t="s">
        <v>1248</v>
      </c>
      <c r="I365" s="120" t="s">
        <v>46</v>
      </c>
      <c r="J365" s="7" t="s">
        <v>913</v>
      </c>
      <c r="K365" s="7" t="s">
        <v>913</v>
      </c>
      <c r="L365" s="8">
        <f>30000*1.04</f>
        <v>31200</v>
      </c>
      <c r="M365" s="8" t="s">
        <v>913</v>
      </c>
      <c r="N365" s="8" t="s">
        <v>913</v>
      </c>
      <c r="O365" s="8" t="s">
        <v>913</v>
      </c>
      <c r="P365" s="8">
        <f t="shared" si="18"/>
        <v>31200</v>
      </c>
      <c r="Q365" s="18" t="s">
        <v>1021</v>
      </c>
      <c r="R365" s="9" t="s">
        <v>1211</v>
      </c>
    </row>
    <row r="366" spans="1:18" ht="54" x14ac:dyDescent="0.25">
      <c r="A366" s="120"/>
      <c r="B366" s="120"/>
      <c r="C366" s="9" t="s">
        <v>85</v>
      </c>
      <c r="D366" s="120"/>
      <c r="E366" s="120"/>
      <c r="F366" s="120"/>
      <c r="G366" s="120"/>
      <c r="H366" s="120"/>
      <c r="I366" s="120"/>
      <c r="J366" s="7" t="s">
        <v>913</v>
      </c>
      <c r="K366" s="8" t="s">
        <v>913</v>
      </c>
      <c r="L366" s="8" t="s">
        <v>913</v>
      </c>
      <c r="M366" s="8" t="s">
        <v>913</v>
      </c>
      <c r="N366" s="8" t="s">
        <v>913</v>
      </c>
      <c r="O366" s="8" t="s">
        <v>913</v>
      </c>
      <c r="P366" s="8">
        <f t="shared" si="18"/>
        <v>0</v>
      </c>
      <c r="Q366" s="18" t="s">
        <v>1048</v>
      </c>
      <c r="R366" s="18" t="s">
        <v>1048</v>
      </c>
    </row>
    <row r="367" spans="1:18" ht="40.5" x14ac:dyDescent="0.25">
      <c r="A367" s="120"/>
      <c r="B367" s="120"/>
      <c r="C367" s="9" t="s">
        <v>86</v>
      </c>
      <c r="D367" s="120"/>
      <c r="E367" s="120"/>
      <c r="F367" s="120"/>
      <c r="G367" s="120"/>
      <c r="H367" s="120"/>
      <c r="I367" s="120"/>
      <c r="J367" s="7" t="s">
        <v>913</v>
      </c>
      <c r="K367" s="8" t="s">
        <v>913</v>
      </c>
      <c r="L367" s="8" t="s">
        <v>913</v>
      </c>
      <c r="M367" s="8" t="s">
        <v>913</v>
      </c>
      <c r="N367" s="8" t="s">
        <v>913</v>
      </c>
      <c r="O367" s="8" t="s">
        <v>913</v>
      </c>
      <c r="P367" s="8">
        <f t="shared" si="18"/>
        <v>0</v>
      </c>
      <c r="Q367" s="18" t="s">
        <v>1048</v>
      </c>
      <c r="R367" s="18" t="s">
        <v>1048</v>
      </c>
    </row>
    <row r="368" spans="1:18" x14ac:dyDescent="0.25">
      <c r="A368" s="142" t="s">
        <v>303</v>
      </c>
      <c r="B368" s="143"/>
      <c r="C368" s="143"/>
      <c r="D368" s="143"/>
      <c r="E368" s="143"/>
      <c r="F368" s="143"/>
      <c r="G368" s="143"/>
      <c r="H368" s="143"/>
      <c r="I368" s="144"/>
      <c r="J368" s="77"/>
      <c r="K368" s="77"/>
      <c r="L368" s="90"/>
      <c r="M368" s="90"/>
      <c r="N368" s="90"/>
      <c r="O368" s="90"/>
      <c r="P368" s="78">
        <f>SUM(P337:P367)</f>
        <v>1414134.2924800001</v>
      </c>
      <c r="Q368" s="77"/>
      <c r="R368" s="79"/>
    </row>
    <row r="369" spans="1:18" ht="17.45" customHeight="1" x14ac:dyDescent="0.25">
      <c r="A369" s="194" t="s">
        <v>20</v>
      </c>
      <c r="B369" s="195"/>
      <c r="C369" s="195"/>
      <c r="D369" s="195"/>
      <c r="E369" s="195"/>
      <c r="F369" s="195"/>
      <c r="G369" s="195"/>
      <c r="H369" s="195"/>
      <c r="I369" s="196"/>
      <c r="J369" s="87"/>
      <c r="K369" s="87"/>
      <c r="L369" s="91"/>
      <c r="M369" s="91"/>
      <c r="N369" s="91"/>
      <c r="O369" s="91"/>
      <c r="P369" s="87"/>
      <c r="Q369" s="87"/>
      <c r="R369" s="88"/>
    </row>
    <row r="370" spans="1:18" ht="67.5" x14ac:dyDescent="0.25">
      <c r="A370" s="136" t="s">
        <v>34</v>
      </c>
      <c r="B370" s="120" t="s">
        <v>448</v>
      </c>
      <c r="C370" s="9" t="s">
        <v>105</v>
      </c>
      <c r="D370" s="120" t="s">
        <v>112</v>
      </c>
      <c r="E370" s="120" t="s">
        <v>110</v>
      </c>
      <c r="F370" s="120" t="s">
        <v>111</v>
      </c>
      <c r="G370" s="120">
        <v>0</v>
      </c>
      <c r="H370" s="120" t="s">
        <v>1247</v>
      </c>
      <c r="I370" s="120" t="s">
        <v>1374</v>
      </c>
      <c r="J370" s="7" t="s">
        <v>913</v>
      </c>
      <c r="K370" s="7" t="s">
        <v>913</v>
      </c>
      <c r="L370" s="16">
        <f>114000*1.04</f>
        <v>118560</v>
      </c>
      <c r="M370" s="8" t="s">
        <v>913</v>
      </c>
      <c r="N370" s="8" t="s">
        <v>913</v>
      </c>
      <c r="O370" s="8" t="s">
        <v>913</v>
      </c>
      <c r="P370" s="8">
        <f t="shared" ref="P370:P399" si="19">SUM(J370:O370)</f>
        <v>118560</v>
      </c>
      <c r="Q370" s="19" t="s">
        <v>1049</v>
      </c>
      <c r="R370" s="9" t="s">
        <v>1211</v>
      </c>
    </row>
    <row r="371" spans="1:18" ht="94.5" x14ac:dyDescent="0.25">
      <c r="A371" s="136"/>
      <c r="B371" s="120"/>
      <c r="C371" s="9" t="s">
        <v>106</v>
      </c>
      <c r="D371" s="120"/>
      <c r="E371" s="120"/>
      <c r="F371" s="120"/>
      <c r="G371" s="120"/>
      <c r="H371" s="120"/>
      <c r="I371" s="120"/>
      <c r="J371" s="7" t="s">
        <v>913</v>
      </c>
      <c r="K371" s="8" t="s">
        <v>913</v>
      </c>
      <c r="L371" s="8" t="s">
        <v>913</v>
      </c>
      <c r="M371" s="8" t="s">
        <v>913</v>
      </c>
      <c r="N371" s="8" t="s">
        <v>913</v>
      </c>
      <c r="O371" s="8" t="s">
        <v>913</v>
      </c>
      <c r="P371" s="8">
        <f t="shared" si="19"/>
        <v>0</v>
      </c>
      <c r="Q371" s="18" t="s">
        <v>1050</v>
      </c>
      <c r="R371" s="18" t="s">
        <v>1050</v>
      </c>
    </row>
    <row r="372" spans="1:18" ht="94.5" x14ac:dyDescent="0.25">
      <c r="A372" s="136"/>
      <c r="B372" s="120"/>
      <c r="C372" s="9" t="s">
        <v>107</v>
      </c>
      <c r="D372" s="120"/>
      <c r="E372" s="120"/>
      <c r="F372" s="120"/>
      <c r="G372" s="120"/>
      <c r="H372" s="120"/>
      <c r="I372" s="120"/>
      <c r="J372" s="7" t="s">
        <v>913</v>
      </c>
      <c r="K372" s="8" t="s">
        <v>913</v>
      </c>
      <c r="L372" s="8" t="s">
        <v>913</v>
      </c>
      <c r="M372" s="8" t="s">
        <v>913</v>
      </c>
      <c r="N372" s="8" t="s">
        <v>913</v>
      </c>
      <c r="O372" s="8" t="s">
        <v>913</v>
      </c>
      <c r="P372" s="8">
        <f t="shared" si="19"/>
        <v>0</v>
      </c>
      <c r="Q372" s="18" t="s">
        <v>1050</v>
      </c>
      <c r="R372" s="18" t="s">
        <v>1050</v>
      </c>
    </row>
    <row r="373" spans="1:18" ht="94.5" x14ac:dyDescent="0.25">
      <c r="A373" s="136"/>
      <c r="B373" s="120"/>
      <c r="C373" s="9" t="s">
        <v>108</v>
      </c>
      <c r="D373" s="120"/>
      <c r="E373" s="120"/>
      <c r="F373" s="120"/>
      <c r="G373" s="120"/>
      <c r="H373" s="120"/>
      <c r="I373" s="120"/>
      <c r="J373" s="7" t="s">
        <v>913</v>
      </c>
      <c r="K373" s="8" t="s">
        <v>913</v>
      </c>
      <c r="L373" s="8" t="s">
        <v>913</v>
      </c>
      <c r="M373" s="8" t="s">
        <v>913</v>
      </c>
      <c r="N373" s="8" t="s">
        <v>913</v>
      </c>
      <c r="O373" s="8" t="s">
        <v>913</v>
      </c>
      <c r="P373" s="8">
        <f t="shared" si="19"/>
        <v>0</v>
      </c>
      <c r="Q373" s="18" t="s">
        <v>1050</v>
      </c>
      <c r="R373" s="18" t="s">
        <v>1050</v>
      </c>
    </row>
    <row r="374" spans="1:18" ht="81" x14ac:dyDescent="0.25">
      <c r="A374" s="136"/>
      <c r="B374" s="120"/>
      <c r="C374" s="9" t="s">
        <v>109</v>
      </c>
      <c r="D374" s="120"/>
      <c r="E374" s="120"/>
      <c r="F374" s="120"/>
      <c r="G374" s="120"/>
      <c r="H374" s="120"/>
      <c r="I374" s="120"/>
      <c r="J374" s="7" t="s">
        <v>913</v>
      </c>
      <c r="K374" s="8" t="s">
        <v>913</v>
      </c>
      <c r="L374" s="8" t="s">
        <v>913</v>
      </c>
      <c r="M374" s="8" t="s">
        <v>913</v>
      </c>
      <c r="N374" s="8" t="s">
        <v>913</v>
      </c>
      <c r="O374" s="8" t="s">
        <v>913</v>
      </c>
      <c r="P374" s="8">
        <f t="shared" si="19"/>
        <v>0</v>
      </c>
      <c r="Q374" s="18" t="s">
        <v>914</v>
      </c>
      <c r="R374" s="9" t="s">
        <v>1212</v>
      </c>
    </row>
    <row r="375" spans="1:18" ht="148.5" x14ac:dyDescent="0.25">
      <c r="A375" s="136" t="s">
        <v>35</v>
      </c>
      <c r="B375" s="120" t="s">
        <v>449</v>
      </c>
      <c r="C375" s="9" t="s">
        <v>113</v>
      </c>
      <c r="D375" s="120" t="s">
        <v>115</v>
      </c>
      <c r="E375" s="120" t="s">
        <v>116</v>
      </c>
      <c r="F375" s="120" t="s">
        <v>117</v>
      </c>
      <c r="G375" s="136">
        <v>0</v>
      </c>
      <c r="H375" s="120" t="s">
        <v>1246</v>
      </c>
      <c r="I375" s="136" t="s">
        <v>46</v>
      </c>
      <c r="J375" s="7" t="s">
        <v>913</v>
      </c>
      <c r="K375" s="8" t="s">
        <v>913</v>
      </c>
      <c r="L375" s="8">
        <f>20000*1.04*1.04</f>
        <v>21632</v>
      </c>
      <c r="M375" s="8" t="s">
        <v>913</v>
      </c>
      <c r="N375" s="8" t="s">
        <v>913</v>
      </c>
      <c r="O375" s="8" t="s">
        <v>913</v>
      </c>
      <c r="P375" s="8">
        <f t="shared" si="19"/>
        <v>21632</v>
      </c>
      <c r="Q375" s="18" t="s">
        <v>1021</v>
      </c>
      <c r="R375" s="9" t="s">
        <v>1211</v>
      </c>
    </row>
    <row r="376" spans="1:18" ht="67.5" x14ac:dyDescent="0.25">
      <c r="A376" s="136"/>
      <c r="B376" s="120"/>
      <c r="C376" s="9" t="s">
        <v>114</v>
      </c>
      <c r="D376" s="120"/>
      <c r="E376" s="120"/>
      <c r="F376" s="120"/>
      <c r="G376" s="136"/>
      <c r="H376" s="120"/>
      <c r="I376" s="136"/>
      <c r="J376" s="7" t="s">
        <v>913</v>
      </c>
      <c r="K376" s="8" t="s">
        <v>913</v>
      </c>
      <c r="L376" s="8" t="s">
        <v>913</v>
      </c>
      <c r="M376" s="8" t="s">
        <v>913</v>
      </c>
      <c r="N376" s="8" t="s">
        <v>913</v>
      </c>
      <c r="O376" s="8" t="s">
        <v>913</v>
      </c>
      <c r="P376" s="8">
        <f t="shared" si="19"/>
        <v>0</v>
      </c>
      <c r="Q376" s="18" t="s">
        <v>1051</v>
      </c>
      <c r="R376" s="18" t="s">
        <v>1051</v>
      </c>
    </row>
    <row r="377" spans="1:18" ht="148.5" x14ac:dyDescent="0.25">
      <c r="A377" s="136"/>
      <c r="B377" s="120"/>
      <c r="C377" s="9" t="s">
        <v>641</v>
      </c>
      <c r="D377" s="120"/>
      <c r="E377" s="120"/>
      <c r="F377" s="120"/>
      <c r="G377" s="136"/>
      <c r="H377" s="120"/>
      <c r="I377" s="136"/>
      <c r="J377" s="7" t="s">
        <v>913</v>
      </c>
      <c r="K377" s="8" t="s">
        <v>913</v>
      </c>
      <c r="L377" s="8" t="s">
        <v>913</v>
      </c>
      <c r="M377" s="8" t="s">
        <v>913</v>
      </c>
      <c r="N377" s="8" t="s">
        <v>913</v>
      </c>
      <c r="O377" s="8" t="s">
        <v>913</v>
      </c>
      <c r="P377" s="8">
        <f t="shared" si="19"/>
        <v>0</v>
      </c>
      <c r="Q377" s="18" t="s">
        <v>1051</v>
      </c>
      <c r="R377" s="18" t="s">
        <v>1051</v>
      </c>
    </row>
    <row r="378" spans="1:18" ht="94.5" x14ac:dyDescent="0.25">
      <c r="A378" s="120" t="s">
        <v>36</v>
      </c>
      <c r="B378" s="120" t="s">
        <v>450</v>
      </c>
      <c r="C378" s="9" t="s">
        <v>118</v>
      </c>
      <c r="D378" s="120" t="s">
        <v>122</v>
      </c>
      <c r="E378" s="120" t="s">
        <v>123</v>
      </c>
      <c r="F378" s="137">
        <v>0.8</v>
      </c>
      <c r="G378" s="137">
        <v>0.1</v>
      </c>
      <c r="H378" s="120" t="s">
        <v>1245</v>
      </c>
      <c r="I378" s="136" t="s">
        <v>46</v>
      </c>
      <c r="J378" s="7" t="s">
        <v>913</v>
      </c>
      <c r="K378" s="7" t="s">
        <v>913</v>
      </c>
      <c r="L378" s="16">
        <f>25000*1.04</f>
        <v>26000</v>
      </c>
      <c r="M378" s="8" t="s">
        <v>913</v>
      </c>
      <c r="N378" s="8" t="s">
        <v>913</v>
      </c>
      <c r="O378" s="8" t="s">
        <v>913</v>
      </c>
      <c r="P378" s="8">
        <f t="shared" si="19"/>
        <v>26000</v>
      </c>
      <c r="Q378" s="18" t="s">
        <v>1021</v>
      </c>
      <c r="R378" s="9" t="s">
        <v>1211</v>
      </c>
    </row>
    <row r="379" spans="1:18" ht="81" x14ac:dyDescent="0.25">
      <c r="A379" s="120"/>
      <c r="B379" s="120"/>
      <c r="C379" s="9" t="s">
        <v>119</v>
      </c>
      <c r="D379" s="120"/>
      <c r="E379" s="120"/>
      <c r="F379" s="137"/>
      <c r="G379" s="137"/>
      <c r="H379" s="120"/>
      <c r="I379" s="136"/>
      <c r="J379" s="7" t="s">
        <v>913</v>
      </c>
      <c r="K379" s="8" t="s">
        <v>913</v>
      </c>
      <c r="L379" s="8">
        <f>8000*1.04*1.04</f>
        <v>8652.8000000000011</v>
      </c>
      <c r="M379" s="8" t="s">
        <v>913</v>
      </c>
      <c r="N379" s="8" t="s">
        <v>913</v>
      </c>
      <c r="O379" s="8" t="s">
        <v>913</v>
      </c>
      <c r="P379" s="8">
        <f t="shared" si="19"/>
        <v>8652.8000000000011</v>
      </c>
      <c r="Q379" s="18" t="s">
        <v>1021</v>
      </c>
      <c r="R379" s="9" t="s">
        <v>1211</v>
      </c>
    </row>
    <row r="380" spans="1:18" ht="81" x14ac:dyDescent="0.25">
      <c r="A380" s="120"/>
      <c r="B380" s="120"/>
      <c r="C380" s="9" t="s">
        <v>120</v>
      </c>
      <c r="D380" s="120"/>
      <c r="E380" s="120"/>
      <c r="F380" s="137"/>
      <c r="G380" s="137"/>
      <c r="H380" s="120"/>
      <c r="I380" s="136"/>
      <c r="J380" s="7" t="s">
        <v>913</v>
      </c>
      <c r="K380" s="8" t="s">
        <v>913</v>
      </c>
      <c r="L380" s="16">
        <f>20000*1.04*1.04</f>
        <v>21632</v>
      </c>
      <c r="M380" s="8" t="s">
        <v>913</v>
      </c>
      <c r="N380" s="8" t="s">
        <v>913</v>
      </c>
      <c r="O380" s="8" t="s">
        <v>913</v>
      </c>
      <c r="P380" s="8">
        <f t="shared" si="19"/>
        <v>21632</v>
      </c>
      <c r="Q380" s="18" t="s">
        <v>1052</v>
      </c>
      <c r="R380" s="9" t="s">
        <v>1211</v>
      </c>
    </row>
    <row r="381" spans="1:18" ht="54" x14ac:dyDescent="0.25">
      <c r="A381" s="120"/>
      <c r="B381" s="120"/>
      <c r="C381" s="9" t="s">
        <v>121</v>
      </c>
      <c r="D381" s="120"/>
      <c r="E381" s="120"/>
      <c r="F381" s="137"/>
      <c r="G381" s="137"/>
      <c r="H381" s="120"/>
      <c r="I381" s="136"/>
      <c r="J381" s="7" t="s">
        <v>913</v>
      </c>
      <c r="K381" s="8" t="s">
        <v>913</v>
      </c>
      <c r="L381" s="8" t="s">
        <v>913</v>
      </c>
      <c r="M381" s="16">
        <v>128000</v>
      </c>
      <c r="N381" s="8" t="s">
        <v>913</v>
      </c>
      <c r="O381" s="8" t="s">
        <v>913</v>
      </c>
      <c r="P381" s="8">
        <f t="shared" si="19"/>
        <v>128000</v>
      </c>
      <c r="Q381" s="18" t="s">
        <v>1052</v>
      </c>
      <c r="R381" s="9" t="s">
        <v>1211</v>
      </c>
    </row>
    <row r="382" spans="1:18" ht="67.5" x14ac:dyDescent="0.25">
      <c r="A382" s="120"/>
      <c r="B382" s="120"/>
      <c r="C382" s="9" t="s">
        <v>124</v>
      </c>
      <c r="D382" s="120"/>
      <c r="E382" s="120"/>
      <c r="F382" s="137"/>
      <c r="G382" s="137"/>
      <c r="H382" s="120"/>
      <c r="I382" s="136"/>
      <c r="J382" s="7" t="s">
        <v>913</v>
      </c>
      <c r="K382" s="8" t="s">
        <v>913</v>
      </c>
      <c r="L382" s="8" t="s">
        <v>913</v>
      </c>
      <c r="M382" s="8" t="s">
        <v>913</v>
      </c>
      <c r="N382" s="8" t="s">
        <v>913</v>
      </c>
      <c r="O382" s="8" t="s">
        <v>913</v>
      </c>
      <c r="P382" s="8">
        <f t="shared" si="19"/>
        <v>0</v>
      </c>
      <c r="Q382" s="18" t="s">
        <v>914</v>
      </c>
      <c r="R382" s="9" t="s">
        <v>1212</v>
      </c>
    </row>
    <row r="383" spans="1:18" ht="94.5" x14ac:dyDescent="0.25">
      <c r="A383" s="136" t="s">
        <v>37</v>
      </c>
      <c r="B383" s="120" t="s">
        <v>451</v>
      </c>
      <c r="C383" s="9" t="s">
        <v>94</v>
      </c>
      <c r="D383" s="120" t="s">
        <v>454</v>
      </c>
      <c r="E383" s="120" t="s">
        <v>104</v>
      </c>
      <c r="F383" s="137">
        <v>0.8</v>
      </c>
      <c r="G383" s="137">
        <v>0.1</v>
      </c>
      <c r="H383" s="136" t="s">
        <v>1244</v>
      </c>
      <c r="I383" s="136" t="s">
        <v>46</v>
      </c>
      <c r="J383" s="7" t="s">
        <v>913</v>
      </c>
      <c r="K383" s="7" t="s">
        <v>913</v>
      </c>
      <c r="L383" s="16">
        <f>25000*1.04</f>
        <v>26000</v>
      </c>
      <c r="M383" s="8" t="s">
        <v>913</v>
      </c>
      <c r="N383" s="8" t="s">
        <v>913</v>
      </c>
      <c r="O383" s="8" t="s">
        <v>913</v>
      </c>
      <c r="P383" s="8">
        <f t="shared" si="19"/>
        <v>26000</v>
      </c>
      <c r="Q383" s="18" t="s">
        <v>1052</v>
      </c>
      <c r="R383" s="9" t="s">
        <v>1211</v>
      </c>
    </row>
    <row r="384" spans="1:18" ht="81" x14ac:dyDescent="0.25">
      <c r="A384" s="136"/>
      <c r="B384" s="120"/>
      <c r="C384" s="9" t="s">
        <v>95</v>
      </c>
      <c r="D384" s="120"/>
      <c r="E384" s="120"/>
      <c r="F384" s="137"/>
      <c r="G384" s="137"/>
      <c r="H384" s="136"/>
      <c r="I384" s="136"/>
      <c r="J384" s="7" t="s">
        <v>913</v>
      </c>
      <c r="K384" s="7" t="s">
        <v>913</v>
      </c>
      <c r="L384" s="16">
        <f>60000*1.04*1.04</f>
        <v>64896</v>
      </c>
      <c r="M384" s="8" t="s">
        <v>913</v>
      </c>
      <c r="N384" s="8" t="s">
        <v>913</v>
      </c>
      <c r="O384" s="8" t="s">
        <v>913</v>
      </c>
      <c r="P384" s="8">
        <f t="shared" si="19"/>
        <v>64896</v>
      </c>
      <c r="Q384" s="18" t="s">
        <v>1052</v>
      </c>
      <c r="R384" s="9" t="s">
        <v>1211</v>
      </c>
    </row>
    <row r="385" spans="1:18" ht="108" x14ac:dyDescent="0.25">
      <c r="A385" s="136"/>
      <c r="B385" s="120"/>
      <c r="C385" s="9" t="s">
        <v>96</v>
      </c>
      <c r="D385" s="120"/>
      <c r="E385" s="120"/>
      <c r="F385" s="137"/>
      <c r="G385" s="137"/>
      <c r="H385" s="136"/>
      <c r="I385" s="136"/>
      <c r="J385" s="7" t="s">
        <v>913</v>
      </c>
      <c r="K385" s="8" t="s">
        <v>913</v>
      </c>
      <c r="L385" s="8" t="s">
        <v>913</v>
      </c>
      <c r="M385" s="8" t="s">
        <v>913</v>
      </c>
      <c r="N385" s="8" t="s">
        <v>913</v>
      </c>
      <c r="O385" s="8" t="s">
        <v>913</v>
      </c>
      <c r="P385" s="8">
        <f t="shared" si="19"/>
        <v>0</v>
      </c>
      <c r="Q385" s="18" t="s">
        <v>1053</v>
      </c>
      <c r="R385" s="18" t="s">
        <v>1053</v>
      </c>
    </row>
    <row r="386" spans="1:18" ht="54" x14ac:dyDescent="0.25">
      <c r="A386" s="136"/>
      <c r="B386" s="120"/>
      <c r="C386" s="9" t="s">
        <v>97</v>
      </c>
      <c r="D386" s="120"/>
      <c r="E386" s="120"/>
      <c r="F386" s="137"/>
      <c r="G386" s="137"/>
      <c r="H386" s="136"/>
      <c r="I386" s="136"/>
      <c r="J386" s="7" t="s">
        <v>913</v>
      </c>
      <c r="K386" s="8" t="s">
        <v>913</v>
      </c>
      <c r="L386" s="16">
        <v>86800</v>
      </c>
      <c r="M386" s="8" t="s">
        <v>913</v>
      </c>
      <c r="N386" s="8" t="s">
        <v>913</v>
      </c>
      <c r="O386" s="8" t="s">
        <v>913</v>
      </c>
      <c r="P386" s="8">
        <f t="shared" si="19"/>
        <v>86800</v>
      </c>
      <c r="Q386" s="18" t="s">
        <v>1052</v>
      </c>
      <c r="R386" s="9" t="s">
        <v>1211</v>
      </c>
    </row>
    <row r="387" spans="1:18" ht="67.5" x14ac:dyDescent="0.25">
      <c r="A387" s="136"/>
      <c r="B387" s="120"/>
      <c r="C387" s="9" t="s">
        <v>98</v>
      </c>
      <c r="D387" s="120"/>
      <c r="E387" s="120"/>
      <c r="F387" s="137"/>
      <c r="G387" s="137"/>
      <c r="H387" s="136"/>
      <c r="I387" s="136"/>
      <c r="J387" s="7" t="s">
        <v>913</v>
      </c>
      <c r="K387" s="8" t="s">
        <v>913</v>
      </c>
      <c r="L387" s="8" t="s">
        <v>913</v>
      </c>
      <c r="M387" s="8" t="s">
        <v>913</v>
      </c>
      <c r="N387" s="8" t="s">
        <v>913</v>
      </c>
      <c r="O387" s="8" t="s">
        <v>913</v>
      </c>
      <c r="P387" s="8">
        <f t="shared" si="19"/>
        <v>0</v>
      </c>
      <c r="Q387" s="18" t="s">
        <v>914</v>
      </c>
      <c r="R387" s="9" t="s">
        <v>1212</v>
      </c>
    </row>
    <row r="388" spans="1:18" ht="40.5" x14ac:dyDescent="0.25">
      <c r="A388" s="136"/>
      <c r="B388" s="120"/>
      <c r="C388" s="9" t="s">
        <v>637</v>
      </c>
      <c r="D388" s="120"/>
      <c r="E388" s="120"/>
      <c r="F388" s="137"/>
      <c r="G388" s="137"/>
      <c r="H388" s="136"/>
      <c r="I388" s="136"/>
      <c r="J388" s="7" t="s">
        <v>913</v>
      </c>
      <c r="K388" s="8" t="s">
        <v>913</v>
      </c>
      <c r="L388" s="8" t="s">
        <v>913</v>
      </c>
      <c r="M388" s="8" t="s">
        <v>913</v>
      </c>
      <c r="N388" s="8" t="s">
        <v>913</v>
      </c>
      <c r="O388" s="8" t="s">
        <v>913</v>
      </c>
      <c r="P388" s="8">
        <f t="shared" si="19"/>
        <v>0</v>
      </c>
      <c r="Q388" s="18" t="s">
        <v>914</v>
      </c>
      <c r="R388" s="9" t="s">
        <v>1212</v>
      </c>
    </row>
    <row r="389" spans="1:18" ht="54" x14ac:dyDescent="0.25">
      <c r="A389" s="136"/>
      <c r="B389" s="120"/>
      <c r="C389" s="9" t="s">
        <v>99</v>
      </c>
      <c r="D389" s="120"/>
      <c r="E389" s="120"/>
      <c r="F389" s="137"/>
      <c r="G389" s="137"/>
      <c r="H389" s="136"/>
      <c r="I389" s="136"/>
      <c r="J389" s="7" t="s">
        <v>913</v>
      </c>
      <c r="K389" s="8" t="s">
        <v>913</v>
      </c>
      <c r="L389" s="8" t="s">
        <v>913</v>
      </c>
      <c r="M389" s="16">
        <v>144000</v>
      </c>
      <c r="N389" s="8" t="s">
        <v>913</v>
      </c>
      <c r="O389" s="8" t="s">
        <v>913</v>
      </c>
      <c r="P389" s="8">
        <f t="shared" si="19"/>
        <v>144000</v>
      </c>
      <c r="Q389" s="18" t="s">
        <v>1052</v>
      </c>
      <c r="R389" s="9" t="s">
        <v>1211</v>
      </c>
    </row>
    <row r="390" spans="1:18" ht="54" x14ac:dyDescent="0.25">
      <c r="A390" s="136"/>
      <c r="B390" s="120"/>
      <c r="C390" s="9" t="s">
        <v>100</v>
      </c>
      <c r="D390" s="120"/>
      <c r="E390" s="120"/>
      <c r="F390" s="137"/>
      <c r="G390" s="137"/>
      <c r="H390" s="136"/>
      <c r="I390" s="136"/>
      <c r="J390" s="7" t="s">
        <v>913</v>
      </c>
      <c r="K390" s="8" t="s">
        <v>913</v>
      </c>
      <c r="L390" s="8" t="s">
        <v>913</v>
      </c>
      <c r="M390" s="21"/>
      <c r="N390" s="16">
        <f>387000*1.04*1.04*1.04</f>
        <v>435322.36800000002</v>
      </c>
      <c r="O390" s="16">
        <f>+N390*1.04</f>
        <v>452735.26272000006</v>
      </c>
      <c r="P390" s="8">
        <f t="shared" si="19"/>
        <v>888057.63072000002</v>
      </c>
      <c r="Q390" s="19" t="s">
        <v>923</v>
      </c>
      <c r="R390" s="9" t="s">
        <v>1211</v>
      </c>
    </row>
    <row r="391" spans="1:18" ht="40.5" x14ac:dyDescent="0.25">
      <c r="A391" s="136"/>
      <c r="B391" s="120"/>
      <c r="C391" s="9" t="s">
        <v>101</v>
      </c>
      <c r="D391" s="120"/>
      <c r="E391" s="120"/>
      <c r="F391" s="137"/>
      <c r="G391" s="137"/>
      <c r="H391" s="136"/>
      <c r="I391" s="136"/>
      <c r="J391" s="7" t="s">
        <v>913</v>
      </c>
      <c r="K391" s="8" t="s">
        <v>913</v>
      </c>
      <c r="L391" s="8" t="s">
        <v>913</v>
      </c>
      <c r="M391" s="8" t="s">
        <v>913</v>
      </c>
      <c r="N391" s="8" t="s">
        <v>913</v>
      </c>
      <c r="O391" s="8" t="s">
        <v>913</v>
      </c>
      <c r="P391" s="8">
        <f t="shared" si="19"/>
        <v>0</v>
      </c>
      <c r="Q391" s="19" t="s">
        <v>1054</v>
      </c>
      <c r="R391" s="19" t="s">
        <v>1054</v>
      </c>
    </row>
    <row r="392" spans="1:18" ht="40.5" x14ac:dyDescent="0.25">
      <c r="A392" s="136"/>
      <c r="B392" s="120"/>
      <c r="C392" s="9" t="s">
        <v>102</v>
      </c>
      <c r="D392" s="120"/>
      <c r="E392" s="120"/>
      <c r="F392" s="137"/>
      <c r="G392" s="137"/>
      <c r="H392" s="136"/>
      <c r="I392" s="136"/>
      <c r="J392" s="7" t="s">
        <v>913</v>
      </c>
      <c r="K392" s="8" t="s">
        <v>913</v>
      </c>
      <c r="L392" s="8" t="s">
        <v>913</v>
      </c>
      <c r="M392" s="8" t="s">
        <v>913</v>
      </c>
      <c r="N392" s="8" t="s">
        <v>913</v>
      </c>
      <c r="O392" s="8" t="s">
        <v>913</v>
      </c>
      <c r="P392" s="8">
        <f t="shared" si="19"/>
        <v>0</v>
      </c>
      <c r="Q392" s="19" t="s">
        <v>1054</v>
      </c>
      <c r="R392" s="19" t="s">
        <v>1054</v>
      </c>
    </row>
    <row r="393" spans="1:18" ht="54" x14ac:dyDescent="0.25">
      <c r="A393" s="136"/>
      <c r="B393" s="120"/>
      <c r="C393" s="9" t="s">
        <v>103</v>
      </c>
      <c r="D393" s="120"/>
      <c r="E393" s="120"/>
      <c r="F393" s="137"/>
      <c r="G393" s="137"/>
      <c r="H393" s="136"/>
      <c r="I393" s="136"/>
      <c r="J393" s="7" t="s">
        <v>913</v>
      </c>
      <c r="K393" s="8" t="s">
        <v>913</v>
      </c>
      <c r="L393" s="8" t="s">
        <v>913</v>
      </c>
      <c r="M393" s="8" t="s">
        <v>913</v>
      </c>
      <c r="N393" s="8" t="s">
        <v>913</v>
      </c>
      <c r="O393" s="8" t="s">
        <v>913</v>
      </c>
      <c r="P393" s="8">
        <f t="shared" si="19"/>
        <v>0</v>
      </c>
      <c r="Q393" s="18" t="s">
        <v>914</v>
      </c>
      <c r="R393" s="9" t="s">
        <v>1212</v>
      </c>
    </row>
    <row r="394" spans="1:18" ht="133.9" customHeight="1" x14ac:dyDescent="0.25">
      <c r="A394" s="136" t="s">
        <v>38</v>
      </c>
      <c r="B394" s="120" t="s">
        <v>452</v>
      </c>
      <c r="C394" s="9" t="s">
        <v>125</v>
      </c>
      <c r="D394" s="120" t="s">
        <v>126</v>
      </c>
      <c r="E394" s="120" t="s">
        <v>127</v>
      </c>
      <c r="F394" s="120" t="s">
        <v>128</v>
      </c>
      <c r="G394" s="136">
        <v>0</v>
      </c>
      <c r="H394" s="136" t="s">
        <v>1230</v>
      </c>
      <c r="I394" s="136" t="s">
        <v>46</v>
      </c>
      <c r="J394" s="7" t="s">
        <v>913</v>
      </c>
      <c r="K394" s="8" t="s">
        <v>913</v>
      </c>
      <c r="L394" s="8" t="s">
        <v>913</v>
      </c>
      <c r="M394" s="16">
        <f>35000*1.04*1.04</f>
        <v>37856</v>
      </c>
      <c r="N394" s="8" t="s">
        <v>913</v>
      </c>
      <c r="O394" s="8" t="s">
        <v>913</v>
      </c>
      <c r="P394" s="8">
        <f t="shared" si="19"/>
        <v>37856</v>
      </c>
      <c r="Q394" s="18" t="s">
        <v>1052</v>
      </c>
      <c r="R394" s="9" t="s">
        <v>1211</v>
      </c>
    </row>
    <row r="395" spans="1:18" ht="98.45" customHeight="1" x14ac:dyDescent="0.25">
      <c r="A395" s="136"/>
      <c r="B395" s="120"/>
      <c r="C395" s="9" t="s">
        <v>455</v>
      </c>
      <c r="D395" s="120"/>
      <c r="E395" s="120"/>
      <c r="F395" s="120"/>
      <c r="G395" s="136"/>
      <c r="H395" s="136"/>
      <c r="I395" s="136"/>
      <c r="J395" s="7" t="s">
        <v>913</v>
      </c>
      <c r="K395" s="8" t="s">
        <v>913</v>
      </c>
      <c r="L395" s="8" t="s">
        <v>913</v>
      </c>
      <c r="M395" s="8" t="s">
        <v>913</v>
      </c>
      <c r="N395" s="16">
        <f>40000*1.04</f>
        <v>41600</v>
      </c>
      <c r="O395" s="8" t="s">
        <v>913</v>
      </c>
      <c r="P395" s="8">
        <f t="shared" si="19"/>
        <v>41600</v>
      </c>
      <c r="Q395" s="18" t="s">
        <v>1052</v>
      </c>
      <c r="R395" s="9" t="s">
        <v>1211</v>
      </c>
    </row>
    <row r="396" spans="1:18" ht="94.5" x14ac:dyDescent="0.25">
      <c r="A396" s="136"/>
      <c r="B396" s="120"/>
      <c r="C396" s="9" t="s">
        <v>456</v>
      </c>
      <c r="D396" s="120"/>
      <c r="E396" s="120"/>
      <c r="F396" s="120"/>
      <c r="G396" s="136"/>
      <c r="H396" s="136"/>
      <c r="I396" s="136"/>
      <c r="J396" s="7" t="s">
        <v>913</v>
      </c>
      <c r="K396" s="8" t="s">
        <v>913</v>
      </c>
      <c r="L396" s="8" t="s">
        <v>913</v>
      </c>
      <c r="M396" s="8" t="s">
        <v>913</v>
      </c>
      <c r="N396" s="8" t="s">
        <v>913</v>
      </c>
      <c r="O396" s="8" t="s">
        <v>913</v>
      </c>
      <c r="P396" s="8">
        <f t="shared" si="19"/>
        <v>0</v>
      </c>
      <c r="Q396" s="18" t="s">
        <v>914</v>
      </c>
      <c r="R396" s="9" t="s">
        <v>1212</v>
      </c>
    </row>
    <row r="397" spans="1:18" ht="54" x14ac:dyDescent="0.25">
      <c r="A397" s="136" t="s">
        <v>39</v>
      </c>
      <c r="B397" s="120" t="s">
        <v>453</v>
      </c>
      <c r="C397" s="9" t="s">
        <v>90</v>
      </c>
      <c r="D397" s="120" t="s">
        <v>91</v>
      </c>
      <c r="E397" s="120" t="s">
        <v>92</v>
      </c>
      <c r="F397" s="120" t="s">
        <v>93</v>
      </c>
      <c r="G397" s="120">
        <v>0</v>
      </c>
      <c r="H397" s="120" t="s">
        <v>1243</v>
      </c>
      <c r="I397" s="120" t="s">
        <v>46</v>
      </c>
      <c r="J397" s="7" t="s">
        <v>913</v>
      </c>
      <c r="K397" s="8" t="s">
        <v>913</v>
      </c>
      <c r="L397" s="8" t="s">
        <v>913</v>
      </c>
      <c r="M397" s="8" t="s">
        <v>913</v>
      </c>
      <c r="N397" s="16">
        <f>40000*1.04</f>
        <v>41600</v>
      </c>
      <c r="O397" s="8" t="s">
        <v>913</v>
      </c>
      <c r="P397" s="8">
        <f t="shared" si="19"/>
        <v>41600</v>
      </c>
      <c r="Q397" s="19" t="s">
        <v>1052</v>
      </c>
      <c r="R397" s="9" t="s">
        <v>1211</v>
      </c>
    </row>
    <row r="398" spans="1:18" ht="54" x14ac:dyDescent="0.25">
      <c r="A398" s="136"/>
      <c r="B398" s="120"/>
      <c r="C398" s="9" t="s">
        <v>457</v>
      </c>
      <c r="D398" s="120"/>
      <c r="E398" s="120"/>
      <c r="F398" s="120"/>
      <c r="G398" s="120"/>
      <c r="H398" s="120"/>
      <c r="I398" s="120"/>
      <c r="J398" s="7" t="s">
        <v>913</v>
      </c>
      <c r="K398" s="8" t="s">
        <v>913</v>
      </c>
      <c r="L398" s="8" t="s">
        <v>913</v>
      </c>
      <c r="M398" s="8" t="s">
        <v>913</v>
      </c>
      <c r="N398" s="8" t="s">
        <v>913</v>
      </c>
      <c r="O398" s="16">
        <f>40000*1.04</f>
        <v>41600</v>
      </c>
      <c r="P398" s="8">
        <f t="shared" si="19"/>
        <v>41600</v>
      </c>
      <c r="Q398" s="19" t="s">
        <v>1052</v>
      </c>
      <c r="R398" s="9" t="s">
        <v>1211</v>
      </c>
    </row>
    <row r="399" spans="1:18" ht="81" x14ac:dyDescent="0.25">
      <c r="A399" s="136"/>
      <c r="B399" s="120"/>
      <c r="C399" s="9" t="s">
        <v>89</v>
      </c>
      <c r="D399" s="120"/>
      <c r="E399" s="120"/>
      <c r="F399" s="120"/>
      <c r="G399" s="120"/>
      <c r="H399" s="120"/>
      <c r="I399" s="120"/>
      <c r="J399" s="7" t="s">
        <v>913</v>
      </c>
      <c r="K399" s="8" t="s">
        <v>913</v>
      </c>
      <c r="L399" s="8" t="s">
        <v>913</v>
      </c>
      <c r="M399" s="8" t="s">
        <v>913</v>
      </c>
      <c r="N399" s="8" t="s">
        <v>913</v>
      </c>
      <c r="O399" s="16" t="s">
        <v>913</v>
      </c>
      <c r="P399" s="8">
        <f t="shared" si="19"/>
        <v>0</v>
      </c>
      <c r="Q399" s="18" t="s">
        <v>914</v>
      </c>
      <c r="R399" s="9" t="s">
        <v>1212</v>
      </c>
    </row>
    <row r="400" spans="1:18" x14ac:dyDescent="0.25">
      <c r="A400" s="142" t="s">
        <v>322</v>
      </c>
      <c r="B400" s="143"/>
      <c r="C400" s="143"/>
      <c r="D400" s="143"/>
      <c r="E400" s="143"/>
      <c r="F400" s="143"/>
      <c r="G400" s="143"/>
      <c r="H400" s="143"/>
      <c r="I400" s="144"/>
      <c r="J400" s="77"/>
      <c r="K400" s="77"/>
      <c r="L400" s="90"/>
      <c r="M400" s="90"/>
      <c r="N400" s="77"/>
      <c r="O400" s="77"/>
      <c r="P400" s="78">
        <f>SUM(P370:P399)</f>
        <v>1696886.4307200001</v>
      </c>
      <c r="Q400" s="77"/>
      <c r="R400" s="79"/>
    </row>
    <row r="401" spans="1:18" ht="14.25" x14ac:dyDescent="0.25">
      <c r="A401" s="169" t="s">
        <v>21</v>
      </c>
      <c r="B401" s="170"/>
      <c r="C401" s="170"/>
      <c r="D401" s="170"/>
      <c r="E401" s="170"/>
      <c r="F401" s="170"/>
      <c r="G401" s="170"/>
      <c r="H401" s="170"/>
      <c r="I401" s="171"/>
      <c r="J401" s="80"/>
      <c r="K401" s="80"/>
      <c r="L401" s="92"/>
      <c r="M401" s="92"/>
      <c r="N401" s="80"/>
      <c r="O401" s="80"/>
      <c r="P401" s="80"/>
      <c r="Q401" s="80"/>
      <c r="R401" s="81"/>
    </row>
    <row r="402" spans="1:18" ht="54" x14ac:dyDescent="0.25">
      <c r="A402" s="136" t="s">
        <v>40</v>
      </c>
      <c r="B402" s="120" t="s">
        <v>25</v>
      </c>
      <c r="C402" s="9" t="s">
        <v>49</v>
      </c>
      <c r="D402" s="120" t="s">
        <v>690</v>
      </c>
      <c r="E402" s="120" t="s">
        <v>57</v>
      </c>
      <c r="F402" s="120" t="s">
        <v>58</v>
      </c>
      <c r="G402" s="200">
        <v>0.1</v>
      </c>
      <c r="H402" s="120" t="s">
        <v>1242</v>
      </c>
      <c r="I402" s="120" t="s">
        <v>46</v>
      </c>
      <c r="J402" s="7" t="s">
        <v>913</v>
      </c>
      <c r="K402" s="7" t="s">
        <v>913</v>
      </c>
      <c r="L402" s="8">
        <f>25000*1.04</f>
        <v>26000</v>
      </c>
      <c r="M402" s="8" t="s">
        <v>913</v>
      </c>
      <c r="N402" s="8" t="s">
        <v>913</v>
      </c>
      <c r="O402" s="8" t="s">
        <v>913</v>
      </c>
      <c r="P402" s="8">
        <f t="shared" ref="P402:P432" si="20">SUM(J402:O402)</f>
        <v>26000</v>
      </c>
      <c r="Q402" s="19" t="s">
        <v>1055</v>
      </c>
      <c r="R402" s="9" t="s">
        <v>1211</v>
      </c>
    </row>
    <row r="403" spans="1:18" ht="27" x14ac:dyDescent="0.25">
      <c r="A403" s="136"/>
      <c r="B403" s="120"/>
      <c r="C403" s="9" t="s">
        <v>50</v>
      </c>
      <c r="D403" s="136"/>
      <c r="E403" s="136"/>
      <c r="F403" s="136"/>
      <c r="G403" s="201"/>
      <c r="H403" s="136"/>
      <c r="I403" s="136"/>
      <c r="J403" s="7" t="s">
        <v>913</v>
      </c>
      <c r="K403" s="8" t="s">
        <v>913</v>
      </c>
      <c r="L403" s="8" t="s">
        <v>913</v>
      </c>
      <c r="M403" s="8" t="s">
        <v>913</v>
      </c>
      <c r="N403" s="8" t="s">
        <v>913</v>
      </c>
      <c r="O403" s="8" t="s">
        <v>913</v>
      </c>
      <c r="P403" s="8">
        <f t="shared" si="20"/>
        <v>0</v>
      </c>
      <c r="Q403" s="18" t="s">
        <v>914</v>
      </c>
      <c r="R403" s="9" t="s">
        <v>1212</v>
      </c>
    </row>
    <row r="404" spans="1:18" ht="94.5" x14ac:dyDescent="0.25">
      <c r="A404" s="136"/>
      <c r="B404" s="120"/>
      <c r="C404" s="9" t="s">
        <v>52</v>
      </c>
      <c r="D404" s="136"/>
      <c r="E404" s="136"/>
      <c r="F404" s="136"/>
      <c r="G404" s="201"/>
      <c r="H404" s="136"/>
      <c r="I404" s="136"/>
      <c r="J404" s="7" t="s">
        <v>913</v>
      </c>
      <c r="K404" s="8" t="s">
        <v>913</v>
      </c>
      <c r="L404" s="8" t="s">
        <v>913</v>
      </c>
      <c r="M404" s="8" t="s">
        <v>913</v>
      </c>
      <c r="N404" s="8" t="s">
        <v>913</v>
      </c>
      <c r="O404" s="8" t="s">
        <v>913</v>
      </c>
      <c r="P404" s="8">
        <f t="shared" si="20"/>
        <v>0</v>
      </c>
      <c r="Q404" s="18" t="s">
        <v>914</v>
      </c>
      <c r="R404" s="9" t="s">
        <v>1212</v>
      </c>
    </row>
    <row r="405" spans="1:18" ht="40.5" x14ac:dyDescent="0.25">
      <c r="A405" s="136"/>
      <c r="B405" s="120"/>
      <c r="C405" s="9" t="s">
        <v>634</v>
      </c>
      <c r="D405" s="136"/>
      <c r="E405" s="136"/>
      <c r="F405" s="136"/>
      <c r="G405" s="201"/>
      <c r="H405" s="136"/>
      <c r="I405" s="136"/>
      <c r="J405" s="7" t="s">
        <v>913</v>
      </c>
      <c r="K405" s="8" t="s">
        <v>913</v>
      </c>
      <c r="L405" s="8" t="s">
        <v>913</v>
      </c>
      <c r="M405" s="8" t="s">
        <v>913</v>
      </c>
      <c r="N405" s="8" t="s">
        <v>913</v>
      </c>
      <c r="O405" s="8" t="s">
        <v>913</v>
      </c>
      <c r="P405" s="8">
        <f t="shared" si="20"/>
        <v>0</v>
      </c>
      <c r="Q405" s="18" t="s">
        <v>914</v>
      </c>
      <c r="R405" s="9" t="s">
        <v>1212</v>
      </c>
    </row>
    <row r="406" spans="1:18" ht="54" x14ac:dyDescent="0.25">
      <c r="A406" s="136"/>
      <c r="B406" s="120"/>
      <c r="C406" s="9" t="s">
        <v>51</v>
      </c>
      <c r="D406" s="136"/>
      <c r="E406" s="136"/>
      <c r="F406" s="136"/>
      <c r="G406" s="201"/>
      <c r="H406" s="136"/>
      <c r="I406" s="136"/>
      <c r="J406" s="7" t="s">
        <v>913</v>
      </c>
      <c r="K406" s="8" t="s">
        <v>913</v>
      </c>
      <c r="L406" s="16">
        <v>348000</v>
      </c>
      <c r="M406" s="16">
        <f>+(140000)*1.04*1.04*1.04</f>
        <v>157480.95999999999</v>
      </c>
      <c r="N406" s="16">
        <f>+M406*1.04</f>
        <v>163780.19839999999</v>
      </c>
      <c r="O406" s="8" t="s">
        <v>913</v>
      </c>
      <c r="P406" s="8">
        <f t="shared" si="20"/>
        <v>669261.15839999996</v>
      </c>
      <c r="Q406" s="19" t="s">
        <v>923</v>
      </c>
      <c r="R406" s="9" t="s">
        <v>1211</v>
      </c>
    </row>
    <row r="407" spans="1:18" ht="40.5" x14ac:dyDescent="0.25">
      <c r="A407" s="136"/>
      <c r="B407" s="120"/>
      <c r="C407" s="9" t="s">
        <v>54</v>
      </c>
      <c r="D407" s="136"/>
      <c r="E407" s="136"/>
      <c r="F407" s="136"/>
      <c r="G407" s="201"/>
      <c r="H407" s="136"/>
      <c r="I407" s="136"/>
      <c r="J407" s="7" t="s">
        <v>913</v>
      </c>
      <c r="K407" s="8" t="s">
        <v>913</v>
      </c>
      <c r="L407" s="8" t="s">
        <v>913</v>
      </c>
      <c r="M407" s="8" t="s">
        <v>913</v>
      </c>
      <c r="N407" s="8" t="s">
        <v>913</v>
      </c>
      <c r="O407" s="8" t="s">
        <v>913</v>
      </c>
      <c r="P407" s="8">
        <f t="shared" si="20"/>
        <v>0</v>
      </c>
      <c r="Q407" s="18" t="s">
        <v>1096</v>
      </c>
      <c r="R407" s="18" t="s">
        <v>1096</v>
      </c>
    </row>
    <row r="408" spans="1:18" ht="40.5" x14ac:dyDescent="0.25">
      <c r="A408" s="136"/>
      <c r="B408" s="120"/>
      <c r="C408" s="9" t="s">
        <v>55</v>
      </c>
      <c r="D408" s="136"/>
      <c r="E408" s="136"/>
      <c r="F408" s="136"/>
      <c r="G408" s="201"/>
      <c r="H408" s="136"/>
      <c r="I408" s="136"/>
      <c r="J408" s="7" t="s">
        <v>913</v>
      </c>
      <c r="K408" s="8" t="s">
        <v>913</v>
      </c>
      <c r="L408" s="8" t="s">
        <v>913</v>
      </c>
      <c r="M408" s="8" t="s">
        <v>913</v>
      </c>
      <c r="N408" s="8" t="s">
        <v>913</v>
      </c>
      <c r="O408" s="8" t="s">
        <v>913</v>
      </c>
      <c r="P408" s="8">
        <f t="shared" si="20"/>
        <v>0</v>
      </c>
      <c r="Q408" s="18" t="s">
        <v>1096</v>
      </c>
      <c r="R408" s="18" t="s">
        <v>1096</v>
      </c>
    </row>
    <row r="409" spans="1:18" ht="40.5" x14ac:dyDescent="0.25">
      <c r="A409" s="136"/>
      <c r="B409" s="120"/>
      <c r="C409" s="9" t="s">
        <v>56</v>
      </c>
      <c r="D409" s="136"/>
      <c r="E409" s="136"/>
      <c r="F409" s="136"/>
      <c r="G409" s="201"/>
      <c r="H409" s="136"/>
      <c r="I409" s="136"/>
      <c r="J409" s="7" t="s">
        <v>913</v>
      </c>
      <c r="K409" s="8" t="s">
        <v>913</v>
      </c>
      <c r="L409" s="8" t="s">
        <v>913</v>
      </c>
      <c r="M409" s="8" t="s">
        <v>913</v>
      </c>
      <c r="N409" s="8" t="s">
        <v>913</v>
      </c>
      <c r="O409" s="8" t="s">
        <v>913</v>
      </c>
      <c r="P409" s="8">
        <f t="shared" si="20"/>
        <v>0</v>
      </c>
      <c r="Q409" s="18" t="s">
        <v>1096</v>
      </c>
      <c r="R409" s="18" t="s">
        <v>1096</v>
      </c>
    </row>
    <row r="410" spans="1:18" ht="67.5" x14ac:dyDescent="0.25">
      <c r="A410" s="136" t="s">
        <v>41</v>
      </c>
      <c r="B410" s="120" t="s">
        <v>559</v>
      </c>
      <c r="C410" s="9" t="s">
        <v>459</v>
      </c>
      <c r="D410" s="120" t="s">
        <v>560</v>
      </c>
      <c r="E410" s="120" t="s">
        <v>135</v>
      </c>
      <c r="F410" s="120" t="s">
        <v>460</v>
      </c>
      <c r="G410" s="137">
        <v>0.1</v>
      </c>
      <c r="H410" s="136" t="s">
        <v>1241</v>
      </c>
      <c r="I410" s="120" t="s">
        <v>324</v>
      </c>
      <c r="J410" s="7" t="s">
        <v>913</v>
      </c>
      <c r="K410" s="8" t="s">
        <v>913</v>
      </c>
      <c r="L410" s="8" t="s">
        <v>913</v>
      </c>
      <c r="M410" s="8" t="s">
        <v>913</v>
      </c>
      <c r="N410" s="8" t="s">
        <v>913</v>
      </c>
      <c r="O410" s="8" t="s">
        <v>913</v>
      </c>
      <c r="P410" s="8">
        <f t="shared" si="20"/>
        <v>0</v>
      </c>
      <c r="Q410" s="18" t="s">
        <v>914</v>
      </c>
      <c r="R410" s="9" t="s">
        <v>1212</v>
      </c>
    </row>
    <row r="411" spans="1:18" ht="135" x14ac:dyDescent="0.25">
      <c r="A411" s="136"/>
      <c r="B411" s="120"/>
      <c r="C411" s="9" t="s">
        <v>461</v>
      </c>
      <c r="D411" s="120"/>
      <c r="E411" s="120"/>
      <c r="F411" s="120"/>
      <c r="G411" s="137"/>
      <c r="H411" s="136"/>
      <c r="I411" s="120"/>
      <c r="J411" s="7" t="s">
        <v>913</v>
      </c>
      <c r="K411" s="8" t="s">
        <v>913</v>
      </c>
      <c r="L411" s="16">
        <f>50000*1.04*1.04</f>
        <v>54080</v>
      </c>
      <c r="M411" s="8" t="s">
        <v>913</v>
      </c>
      <c r="N411" s="8" t="s">
        <v>913</v>
      </c>
      <c r="O411" s="8" t="s">
        <v>913</v>
      </c>
      <c r="P411" s="8">
        <f t="shared" si="20"/>
        <v>54080</v>
      </c>
      <c r="Q411" s="18" t="s">
        <v>1055</v>
      </c>
      <c r="R411" s="9" t="s">
        <v>1211</v>
      </c>
    </row>
    <row r="412" spans="1:18" ht="40.5" x14ac:dyDescent="0.25">
      <c r="A412" s="136"/>
      <c r="B412" s="120"/>
      <c r="C412" s="9" t="s">
        <v>130</v>
      </c>
      <c r="D412" s="120"/>
      <c r="E412" s="120"/>
      <c r="F412" s="120"/>
      <c r="G412" s="137"/>
      <c r="H412" s="136"/>
      <c r="I412" s="120"/>
      <c r="J412" s="7" t="s">
        <v>913</v>
      </c>
      <c r="K412" s="8" t="s">
        <v>913</v>
      </c>
      <c r="L412" s="8" t="s">
        <v>913</v>
      </c>
      <c r="M412" s="8" t="s">
        <v>913</v>
      </c>
      <c r="N412" s="8" t="s">
        <v>913</v>
      </c>
      <c r="O412" s="8" t="s">
        <v>913</v>
      </c>
      <c r="P412" s="8">
        <f t="shared" si="20"/>
        <v>0</v>
      </c>
      <c r="Q412" s="18" t="s">
        <v>1056</v>
      </c>
      <c r="R412" s="18" t="s">
        <v>1056</v>
      </c>
    </row>
    <row r="413" spans="1:18" ht="67.5" x14ac:dyDescent="0.25">
      <c r="A413" s="136"/>
      <c r="B413" s="120"/>
      <c r="C413" s="9" t="s">
        <v>129</v>
      </c>
      <c r="D413" s="120"/>
      <c r="E413" s="120"/>
      <c r="F413" s="120"/>
      <c r="G413" s="137"/>
      <c r="H413" s="136"/>
      <c r="I413" s="120"/>
      <c r="J413" s="7" t="s">
        <v>913</v>
      </c>
      <c r="K413" s="8" t="s">
        <v>913</v>
      </c>
      <c r="L413" s="8" t="s">
        <v>913</v>
      </c>
      <c r="M413" s="8" t="s">
        <v>913</v>
      </c>
      <c r="N413" s="8" t="s">
        <v>913</v>
      </c>
      <c r="O413" s="8" t="s">
        <v>913</v>
      </c>
      <c r="P413" s="8">
        <f t="shared" si="20"/>
        <v>0</v>
      </c>
      <c r="Q413" s="18" t="s">
        <v>914</v>
      </c>
      <c r="R413" s="9" t="s">
        <v>1212</v>
      </c>
    </row>
    <row r="414" spans="1:18" ht="40.5" x14ac:dyDescent="0.25">
      <c r="A414" s="136"/>
      <c r="B414" s="120"/>
      <c r="C414" s="9" t="s">
        <v>638</v>
      </c>
      <c r="D414" s="120"/>
      <c r="E414" s="120"/>
      <c r="F414" s="120"/>
      <c r="G414" s="137"/>
      <c r="H414" s="136"/>
      <c r="I414" s="120"/>
      <c r="J414" s="7" t="s">
        <v>913</v>
      </c>
      <c r="K414" s="8" t="s">
        <v>913</v>
      </c>
      <c r="L414" s="8" t="s">
        <v>913</v>
      </c>
      <c r="M414" s="8" t="s">
        <v>913</v>
      </c>
      <c r="N414" s="8" t="s">
        <v>913</v>
      </c>
      <c r="O414" s="8" t="s">
        <v>913</v>
      </c>
      <c r="P414" s="8">
        <f t="shared" si="20"/>
        <v>0</v>
      </c>
      <c r="Q414" s="18" t="s">
        <v>914</v>
      </c>
      <c r="R414" s="9" t="s">
        <v>1212</v>
      </c>
    </row>
    <row r="415" spans="1:18" ht="27" x14ac:dyDescent="0.25">
      <c r="A415" s="136"/>
      <c r="B415" s="120"/>
      <c r="C415" s="9" t="s">
        <v>131</v>
      </c>
      <c r="D415" s="120"/>
      <c r="E415" s="120"/>
      <c r="F415" s="120"/>
      <c r="G415" s="137"/>
      <c r="H415" s="136"/>
      <c r="I415" s="120"/>
      <c r="J415" s="7" t="s">
        <v>913</v>
      </c>
      <c r="K415" s="8" t="s">
        <v>913</v>
      </c>
      <c r="L415" s="8" t="s">
        <v>913</v>
      </c>
      <c r="M415" s="8" t="s">
        <v>913</v>
      </c>
      <c r="N415" s="8" t="s">
        <v>913</v>
      </c>
      <c r="O415" s="8" t="s">
        <v>913</v>
      </c>
      <c r="P415" s="8">
        <f t="shared" si="20"/>
        <v>0</v>
      </c>
      <c r="Q415" s="18" t="s">
        <v>914</v>
      </c>
      <c r="R415" s="9" t="s">
        <v>1212</v>
      </c>
    </row>
    <row r="416" spans="1:18" ht="54" x14ac:dyDescent="0.25">
      <c r="A416" s="136"/>
      <c r="B416" s="120"/>
      <c r="C416" s="9" t="s">
        <v>132</v>
      </c>
      <c r="D416" s="120"/>
      <c r="E416" s="120"/>
      <c r="F416" s="120"/>
      <c r="G416" s="137"/>
      <c r="H416" s="136"/>
      <c r="I416" s="120"/>
      <c r="J416" s="7" t="s">
        <v>913</v>
      </c>
      <c r="K416" s="8" t="s">
        <v>913</v>
      </c>
      <c r="L416" s="8" t="s">
        <v>913</v>
      </c>
      <c r="M416" s="16">
        <f>80000*1.04*1.04*1.04</f>
        <v>89989.12000000001</v>
      </c>
      <c r="N416" s="8" t="s">
        <v>913</v>
      </c>
      <c r="O416" s="8" t="s">
        <v>913</v>
      </c>
      <c r="P416" s="8">
        <f t="shared" si="20"/>
        <v>89989.12000000001</v>
      </c>
      <c r="Q416" s="19" t="s">
        <v>923</v>
      </c>
      <c r="R416" s="9" t="s">
        <v>1211</v>
      </c>
    </row>
    <row r="417" spans="1:18" ht="40.5" x14ac:dyDescent="0.25">
      <c r="A417" s="136"/>
      <c r="B417" s="120"/>
      <c r="C417" s="9" t="s">
        <v>133</v>
      </c>
      <c r="D417" s="120"/>
      <c r="E417" s="120"/>
      <c r="F417" s="120"/>
      <c r="G417" s="137"/>
      <c r="H417" s="136"/>
      <c r="I417" s="120"/>
      <c r="J417" s="7" t="s">
        <v>913</v>
      </c>
      <c r="K417" s="8" t="s">
        <v>913</v>
      </c>
      <c r="L417" s="8" t="s">
        <v>913</v>
      </c>
      <c r="M417" s="8" t="s">
        <v>913</v>
      </c>
      <c r="N417" s="8" t="s">
        <v>913</v>
      </c>
      <c r="O417" s="8" t="s">
        <v>913</v>
      </c>
      <c r="P417" s="8">
        <f t="shared" si="20"/>
        <v>0</v>
      </c>
      <c r="Q417" s="19" t="s">
        <v>1057</v>
      </c>
      <c r="R417" s="19" t="s">
        <v>1057</v>
      </c>
    </row>
    <row r="418" spans="1:18" ht="40.5" x14ac:dyDescent="0.25">
      <c r="A418" s="136"/>
      <c r="B418" s="120"/>
      <c r="C418" s="9" t="s">
        <v>134</v>
      </c>
      <c r="D418" s="120"/>
      <c r="E418" s="120"/>
      <c r="F418" s="120"/>
      <c r="G418" s="137"/>
      <c r="H418" s="136"/>
      <c r="I418" s="120"/>
      <c r="J418" s="7" t="s">
        <v>913</v>
      </c>
      <c r="K418" s="8" t="s">
        <v>913</v>
      </c>
      <c r="L418" s="8" t="s">
        <v>913</v>
      </c>
      <c r="M418" s="8" t="s">
        <v>913</v>
      </c>
      <c r="N418" s="8" t="s">
        <v>913</v>
      </c>
      <c r="O418" s="8" t="s">
        <v>913</v>
      </c>
      <c r="P418" s="8">
        <f t="shared" si="20"/>
        <v>0</v>
      </c>
      <c r="Q418" s="19" t="s">
        <v>1057</v>
      </c>
      <c r="R418" s="19" t="s">
        <v>1057</v>
      </c>
    </row>
    <row r="419" spans="1:18" ht="94.5" x14ac:dyDescent="0.25">
      <c r="A419" s="136"/>
      <c r="B419" s="120"/>
      <c r="C419" s="9" t="s">
        <v>462</v>
      </c>
      <c r="D419" s="120"/>
      <c r="E419" s="120"/>
      <c r="F419" s="120"/>
      <c r="G419" s="137"/>
      <c r="H419" s="136"/>
      <c r="I419" s="120"/>
      <c r="J419" s="7" t="s">
        <v>913</v>
      </c>
      <c r="K419" s="8" t="s">
        <v>913</v>
      </c>
      <c r="L419" s="8" t="s">
        <v>913</v>
      </c>
      <c r="M419" s="8" t="s">
        <v>913</v>
      </c>
      <c r="N419" s="8" t="s">
        <v>913</v>
      </c>
      <c r="O419" s="8" t="s">
        <v>913</v>
      </c>
      <c r="P419" s="8">
        <f t="shared" si="20"/>
        <v>0</v>
      </c>
      <c r="Q419" s="18" t="s">
        <v>914</v>
      </c>
      <c r="R419" s="9" t="s">
        <v>1212</v>
      </c>
    </row>
    <row r="420" spans="1:18" ht="67.5" x14ac:dyDescent="0.25">
      <c r="A420" s="136" t="s">
        <v>42</v>
      </c>
      <c r="B420" s="120" t="s">
        <v>458</v>
      </c>
      <c r="C420" s="9" t="s">
        <v>136</v>
      </c>
      <c r="D420" s="120" t="s">
        <v>464</v>
      </c>
      <c r="E420" s="120" t="s">
        <v>463</v>
      </c>
      <c r="F420" s="120" t="s">
        <v>460</v>
      </c>
      <c r="G420" s="137">
        <v>0.1</v>
      </c>
      <c r="H420" s="136" t="s">
        <v>1240</v>
      </c>
      <c r="I420" s="136" t="s">
        <v>46</v>
      </c>
      <c r="J420" s="7" t="s">
        <v>913</v>
      </c>
      <c r="K420" s="7" t="s">
        <v>913</v>
      </c>
      <c r="L420" s="8">
        <f>15000*1.04</f>
        <v>15600</v>
      </c>
      <c r="M420" s="8" t="s">
        <v>913</v>
      </c>
      <c r="N420" s="8" t="s">
        <v>913</v>
      </c>
      <c r="O420" s="8" t="s">
        <v>913</v>
      </c>
      <c r="P420" s="8">
        <f t="shared" si="20"/>
        <v>15600</v>
      </c>
      <c r="Q420" s="18" t="s">
        <v>1055</v>
      </c>
      <c r="R420" s="9" t="s">
        <v>1211</v>
      </c>
    </row>
    <row r="421" spans="1:18" ht="81" x14ac:dyDescent="0.25">
      <c r="A421" s="136"/>
      <c r="B421" s="120"/>
      <c r="C421" s="9" t="s">
        <v>137</v>
      </c>
      <c r="D421" s="120"/>
      <c r="E421" s="120"/>
      <c r="F421" s="120"/>
      <c r="G421" s="137"/>
      <c r="H421" s="136"/>
      <c r="I421" s="136"/>
      <c r="J421" s="7" t="s">
        <v>913</v>
      </c>
      <c r="K421" s="8" t="s">
        <v>913</v>
      </c>
      <c r="L421" s="8" t="s">
        <v>913</v>
      </c>
      <c r="M421" s="8" t="s">
        <v>913</v>
      </c>
      <c r="N421" s="8" t="s">
        <v>913</v>
      </c>
      <c r="O421" s="8" t="s">
        <v>913</v>
      </c>
      <c r="P421" s="8">
        <f t="shared" si="20"/>
        <v>0</v>
      </c>
      <c r="Q421" s="18" t="s">
        <v>1058</v>
      </c>
      <c r="R421" s="18" t="s">
        <v>1058</v>
      </c>
    </row>
    <row r="422" spans="1:18" ht="94.5" x14ac:dyDescent="0.25">
      <c r="A422" s="136"/>
      <c r="B422" s="120"/>
      <c r="C422" s="9" t="s">
        <v>1378</v>
      </c>
      <c r="D422" s="120"/>
      <c r="E422" s="120"/>
      <c r="F422" s="120"/>
      <c r="G422" s="137"/>
      <c r="H422" s="136"/>
      <c r="I422" s="136"/>
      <c r="J422" s="7" t="s">
        <v>913</v>
      </c>
      <c r="K422" s="8" t="s">
        <v>913</v>
      </c>
      <c r="L422" s="8" t="s">
        <v>913</v>
      </c>
      <c r="M422" s="8" t="s">
        <v>913</v>
      </c>
      <c r="N422" s="8" t="s">
        <v>913</v>
      </c>
      <c r="O422" s="8" t="s">
        <v>913</v>
      </c>
      <c r="P422" s="8">
        <f t="shared" si="20"/>
        <v>0</v>
      </c>
      <c r="Q422" s="18" t="s">
        <v>1058</v>
      </c>
      <c r="R422" s="18" t="s">
        <v>1058</v>
      </c>
    </row>
    <row r="423" spans="1:18" ht="81" x14ac:dyDescent="0.25">
      <c r="A423" s="136"/>
      <c r="B423" s="120"/>
      <c r="C423" s="9" t="s">
        <v>138</v>
      </c>
      <c r="D423" s="120"/>
      <c r="E423" s="120"/>
      <c r="F423" s="120"/>
      <c r="G423" s="137"/>
      <c r="H423" s="136"/>
      <c r="I423" s="136"/>
      <c r="J423" s="7" t="s">
        <v>913</v>
      </c>
      <c r="K423" s="7" t="s">
        <v>913</v>
      </c>
      <c r="L423" s="8">
        <f>5000*1.04</f>
        <v>5200</v>
      </c>
      <c r="M423" s="8" t="s">
        <v>913</v>
      </c>
      <c r="N423" s="8" t="s">
        <v>913</v>
      </c>
      <c r="O423" s="8" t="s">
        <v>913</v>
      </c>
      <c r="P423" s="8">
        <f t="shared" si="20"/>
        <v>5200</v>
      </c>
      <c r="Q423" s="18" t="s">
        <v>1055</v>
      </c>
      <c r="R423" s="9" t="s">
        <v>1211</v>
      </c>
    </row>
    <row r="424" spans="1:18" ht="121.5" x14ac:dyDescent="0.25">
      <c r="A424" s="136"/>
      <c r="B424" s="120"/>
      <c r="C424" s="9" t="s">
        <v>139</v>
      </c>
      <c r="D424" s="120"/>
      <c r="E424" s="120"/>
      <c r="F424" s="120"/>
      <c r="G424" s="137"/>
      <c r="H424" s="136"/>
      <c r="I424" s="136"/>
      <c r="J424" s="7" t="s">
        <v>913</v>
      </c>
      <c r="K424" s="8" t="s">
        <v>913</v>
      </c>
      <c r="L424" s="8" t="s">
        <v>913</v>
      </c>
      <c r="M424" s="8" t="s">
        <v>913</v>
      </c>
      <c r="N424" s="8" t="s">
        <v>913</v>
      </c>
      <c r="O424" s="8" t="s">
        <v>913</v>
      </c>
      <c r="P424" s="8">
        <f t="shared" si="20"/>
        <v>0</v>
      </c>
      <c r="Q424" s="18" t="s">
        <v>1059</v>
      </c>
      <c r="R424" s="18" t="s">
        <v>1059</v>
      </c>
    </row>
    <row r="425" spans="1:18" ht="54" x14ac:dyDescent="0.25">
      <c r="A425" s="136" t="s">
        <v>43</v>
      </c>
      <c r="B425" s="120" t="s">
        <v>1134</v>
      </c>
      <c r="C425" s="9" t="s">
        <v>140</v>
      </c>
      <c r="D425" s="120" t="s">
        <v>144</v>
      </c>
      <c r="E425" s="120" t="s">
        <v>145</v>
      </c>
      <c r="F425" s="120" t="s">
        <v>460</v>
      </c>
      <c r="G425" s="137">
        <v>0.1</v>
      </c>
      <c r="H425" s="136" t="s">
        <v>1239</v>
      </c>
      <c r="I425" s="136" t="s">
        <v>46</v>
      </c>
      <c r="J425" s="7" t="s">
        <v>913</v>
      </c>
      <c r="K425" s="7" t="s">
        <v>913</v>
      </c>
      <c r="L425" s="16">
        <f>5000*1.04</f>
        <v>5200</v>
      </c>
      <c r="M425" s="8" t="s">
        <v>913</v>
      </c>
      <c r="N425" s="8" t="s">
        <v>913</v>
      </c>
      <c r="O425" s="8" t="s">
        <v>913</v>
      </c>
      <c r="P425" s="8">
        <f t="shared" si="20"/>
        <v>5200</v>
      </c>
      <c r="Q425" s="19" t="s">
        <v>1055</v>
      </c>
      <c r="R425" s="9" t="s">
        <v>1211</v>
      </c>
    </row>
    <row r="426" spans="1:18" ht="54" x14ac:dyDescent="0.25">
      <c r="A426" s="136"/>
      <c r="B426" s="120"/>
      <c r="C426" s="9" t="s">
        <v>141</v>
      </c>
      <c r="D426" s="120"/>
      <c r="E426" s="120"/>
      <c r="F426" s="120"/>
      <c r="G426" s="136"/>
      <c r="H426" s="136"/>
      <c r="I426" s="136"/>
      <c r="J426" s="7" t="s">
        <v>913</v>
      </c>
      <c r="K426" s="8" t="s">
        <v>913</v>
      </c>
      <c r="L426" s="8" t="s">
        <v>913</v>
      </c>
      <c r="M426" s="8" t="s">
        <v>913</v>
      </c>
      <c r="N426" s="8" t="s">
        <v>913</v>
      </c>
      <c r="O426" s="8" t="s">
        <v>913</v>
      </c>
      <c r="P426" s="8">
        <f t="shared" si="20"/>
        <v>0</v>
      </c>
      <c r="Q426" s="18" t="s">
        <v>1060</v>
      </c>
      <c r="R426" s="18" t="s">
        <v>1060</v>
      </c>
    </row>
    <row r="427" spans="1:18" ht="67.5" x14ac:dyDescent="0.25">
      <c r="A427" s="136"/>
      <c r="B427" s="120"/>
      <c r="C427" s="9" t="s">
        <v>142</v>
      </c>
      <c r="D427" s="120"/>
      <c r="E427" s="120"/>
      <c r="F427" s="120"/>
      <c r="G427" s="136"/>
      <c r="H427" s="136"/>
      <c r="I427" s="136"/>
      <c r="J427" s="7" t="s">
        <v>913</v>
      </c>
      <c r="K427" s="8" t="s">
        <v>913</v>
      </c>
      <c r="L427" s="8" t="s">
        <v>913</v>
      </c>
      <c r="M427" s="8" t="s">
        <v>913</v>
      </c>
      <c r="N427" s="8" t="s">
        <v>913</v>
      </c>
      <c r="O427" s="8" t="s">
        <v>913</v>
      </c>
      <c r="P427" s="8">
        <f t="shared" si="20"/>
        <v>0</v>
      </c>
      <c r="Q427" s="18" t="s">
        <v>1060</v>
      </c>
      <c r="R427" s="18" t="s">
        <v>1060</v>
      </c>
    </row>
    <row r="428" spans="1:18" ht="67.5" x14ac:dyDescent="0.25">
      <c r="A428" s="136"/>
      <c r="B428" s="120"/>
      <c r="C428" s="9" t="s">
        <v>143</v>
      </c>
      <c r="D428" s="120"/>
      <c r="E428" s="120"/>
      <c r="F428" s="120"/>
      <c r="G428" s="136"/>
      <c r="H428" s="136"/>
      <c r="I428" s="136"/>
      <c r="J428" s="7" t="s">
        <v>913</v>
      </c>
      <c r="K428" s="7" t="s">
        <v>913</v>
      </c>
      <c r="L428" s="16">
        <f>15000*1.04</f>
        <v>15600</v>
      </c>
      <c r="M428" s="8" t="s">
        <v>913</v>
      </c>
      <c r="N428" s="8" t="s">
        <v>913</v>
      </c>
      <c r="O428" s="8" t="s">
        <v>913</v>
      </c>
      <c r="P428" s="8">
        <f t="shared" si="20"/>
        <v>15600</v>
      </c>
      <c r="Q428" s="19" t="s">
        <v>1061</v>
      </c>
      <c r="R428" s="9" t="s">
        <v>1211</v>
      </c>
    </row>
    <row r="429" spans="1:18" ht="54" x14ac:dyDescent="0.25">
      <c r="A429" s="136" t="s">
        <v>44</v>
      </c>
      <c r="B429" s="120" t="s">
        <v>1135</v>
      </c>
      <c r="C429" s="9" t="s">
        <v>140</v>
      </c>
      <c r="D429" s="120" t="s">
        <v>144</v>
      </c>
      <c r="E429" s="120" t="s">
        <v>145</v>
      </c>
      <c r="F429" s="120" t="s">
        <v>460</v>
      </c>
      <c r="G429" s="137">
        <v>0.1</v>
      </c>
      <c r="H429" s="136" t="s">
        <v>1238</v>
      </c>
      <c r="I429" s="136" t="s">
        <v>46</v>
      </c>
      <c r="J429" s="7" t="s">
        <v>913</v>
      </c>
      <c r="K429" s="7" t="s">
        <v>913</v>
      </c>
      <c r="L429" s="16">
        <f>12000*1.04</f>
        <v>12480</v>
      </c>
      <c r="M429" s="8" t="s">
        <v>913</v>
      </c>
      <c r="N429" s="8" t="s">
        <v>913</v>
      </c>
      <c r="O429" s="8" t="s">
        <v>913</v>
      </c>
      <c r="P429" s="8">
        <f t="shared" si="20"/>
        <v>12480</v>
      </c>
      <c r="Q429" s="19" t="s">
        <v>1062</v>
      </c>
      <c r="R429" s="9" t="s">
        <v>1211</v>
      </c>
    </row>
    <row r="430" spans="1:18" ht="54" x14ac:dyDescent="0.25">
      <c r="A430" s="136"/>
      <c r="B430" s="120"/>
      <c r="C430" s="9" t="s">
        <v>141</v>
      </c>
      <c r="D430" s="120"/>
      <c r="E430" s="120"/>
      <c r="F430" s="120"/>
      <c r="G430" s="136"/>
      <c r="H430" s="136"/>
      <c r="I430" s="136"/>
      <c r="J430" s="7" t="s">
        <v>913</v>
      </c>
      <c r="K430" s="7" t="s">
        <v>913</v>
      </c>
      <c r="L430" s="8">
        <f>5000*1.04</f>
        <v>5200</v>
      </c>
      <c r="M430" s="8" t="s">
        <v>913</v>
      </c>
      <c r="N430" s="8" t="s">
        <v>913</v>
      </c>
      <c r="O430" s="8" t="s">
        <v>913</v>
      </c>
      <c r="P430" s="8">
        <f t="shared" si="20"/>
        <v>5200</v>
      </c>
      <c r="Q430" s="19" t="s">
        <v>1055</v>
      </c>
      <c r="R430" s="9" t="s">
        <v>1211</v>
      </c>
    </row>
    <row r="431" spans="1:18" ht="67.5" x14ac:dyDescent="0.25">
      <c r="A431" s="136"/>
      <c r="B431" s="120"/>
      <c r="C431" s="9" t="s">
        <v>142</v>
      </c>
      <c r="D431" s="120"/>
      <c r="E431" s="120"/>
      <c r="F431" s="120"/>
      <c r="G431" s="136"/>
      <c r="H431" s="136"/>
      <c r="I431" s="136"/>
      <c r="J431" s="7" t="s">
        <v>913</v>
      </c>
      <c r="K431" s="8" t="s">
        <v>913</v>
      </c>
      <c r="L431" s="8" t="s">
        <v>913</v>
      </c>
      <c r="M431" s="8" t="s">
        <v>913</v>
      </c>
      <c r="N431" s="8" t="s">
        <v>913</v>
      </c>
      <c r="O431" s="8" t="s">
        <v>913</v>
      </c>
      <c r="P431" s="8">
        <f t="shared" si="20"/>
        <v>0</v>
      </c>
      <c r="Q431" s="18" t="s">
        <v>914</v>
      </c>
      <c r="R431" s="9" t="s">
        <v>1212</v>
      </c>
    </row>
    <row r="432" spans="1:18" ht="67.5" x14ac:dyDescent="0.25">
      <c r="A432" s="136"/>
      <c r="B432" s="120"/>
      <c r="C432" s="9" t="s">
        <v>143</v>
      </c>
      <c r="D432" s="120"/>
      <c r="E432" s="120"/>
      <c r="F432" s="120"/>
      <c r="G432" s="136"/>
      <c r="H432" s="136"/>
      <c r="I432" s="136"/>
      <c r="J432" s="7" t="s">
        <v>913</v>
      </c>
      <c r="K432" s="8" t="s">
        <v>913</v>
      </c>
      <c r="L432" s="16">
        <f>40000*1.04*1.04</f>
        <v>43264</v>
      </c>
      <c r="M432" s="8" t="s">
        <v>913</v>
      </c>
      <c r="N432" s="8" t="s">
        <v>913</v>
      </c>
      <c r="O432" s="8" t="s">
        <v>913</v>
      </c>
      <c r="P432" s="8">
        <f t="shared" si="20"/>
        <v>43264</v>
      </c>
      <c r="Q432" s="19" t="s">
        <v>1061</v>
      </c>
      <c r="R432" s="9" t="s">
        <v>1211</v>
      </c>
    </row>
    <row r="433" spans="1:20" x14ac:dyDescent="0.25">
      <c r="A433" s="142" t="s">
        <v>303</v>
      </c>
      <c r="B433" s="143"/>
      <c r="C433" s="143"/>
      <c r="D433" s="143"/>
      <c r="E433" s="143"/>
      <c r="F433" s="143"/>
      <c r="G433" s="143"/>
      <c r="H433" s="143"/>
      <c r="I433" s="144"/>
      <c r="J433" s="77"/>
      <c r="K433" s="77"/>
      <c r="L433" s="77"/>
      <c r="M433" s="77"/>
      <c r="N433" s="77"/>
      <c r="O433" s="90"/>
      <c r="P433" s="78">
        <f>SUM(P402:P432)</f>
        <v>941874.27839999995</v>
      </c>
      <c r="Q433" s="77"/>
      <c r="R433" s="79"/>
    </row>
    <row r="434" spans="1:20" ht="14.25" x14ac:dyDescent="0.25">
      <c r="A434" s="207" t="s">
        <v>1360</v>
      </c>
      <c r="B434" s="208"/>
      <c r="C434" s="208"/>
      <c r="D434" s="208"/>
      <c r="E434" s="208"/>
      <c r="F434" s="208"/>
      <c r="G434" s="208"/>
      <c r="H434" s="208"/>
      <c r="I434" s="209"/>
      <c r="J434" s="77"/>
      <c r="K434" s="77"/>
      <c r="L434" s="77"/>
      <c r="M434" s="77"/>
      <c r="N434" s="77"/>
      <c r="O434" s="90"/>
      <c r="P434" s="94">
        <f>+P433+P400+P368+P335</f>
        <v>6712153.4976000004</v>
      </c>
      <c r="Q434" s="77"/>
      <c r="R434" s="79"/>
    </row>
    <row r="435" spans="1:20" ht="14.25" x14ac:dyDescent="0.25">
      <c r="A435" s="138" t="s">
        <v>22</v>
      </c>
      <c r="B435" s="139"/>
      <c r="C435" s="139"/>
      <c r="D435" s="139"/>
      <c r="E435" s="139"/>
      <c r="F435" s="139"/>
      <c r="G435" s="139"/>
      <c r="H435" s="139"/>
      <c r="I435" s="140"/>
      <c r="J435" s="85"/>
      <c r="K435" s="85"/>
      <c r="L435" s="85"/>
      <c r="M435" s="85"/>
      <c r="N435" s="85"/>
      <c r="O435" s="93"/>
      <c r="P435" s="85"/>
      <c r="Q435" s="85"/>
      <c r="R435" s="86"/>
    </row>
    <row r="436" spans="1:20" x14ac:dyDescent="0.25">
      <c r="A436" s="197" t="s">
        <v>1286</v>
      </c>
      <c r="B436" s="198"/>
      <c r="C436" s="198"/>
      <c r="D436" s="198"/>
      <c r="E436" s="198"/>
      <c r="F436" s="198"/>
      <c r="G436" s="198"/>
      <c r="H436" s="198"/>
      <c r="I436" s="199"/>
      <c r="J436" s="77"/>
      <c r="K436" s="77"/>
      <c r="L436" s="77"/>
      <c r="M436" s="77"/>
      <c r="N436" s="77"/>
      <c r="O436" s="90"/>
      <c r="P436" s="77"/>
      <c r="Q436" s="77"/>
      <c r="R436" s="79"/>
    </row>
    <row r="437" spans="1:20" ht="67.5" x14ac:dyDescent="0.25">
      <c r="A437" s="127" t="s">
        <v>744</v>
      </c>
      <c r="B437" s="148" t="s">
        <v>745</v>
      </c>
      <c r="C437" s="27" t="s">
        <v>1299</v>
      </c>
      <c r="D437" s="118" t="s">
        <v>1300</v>
      </c>
      <c r="E437" s="118" t="s">
        <v>594</v>
      </c>
      <c r="F437" s="118" t="s">
        <v>595</v>
      </c>
      <c r="G437" s="150">
        <v>0.1</v>
      </c>
      <c r="H437" s="118" t="s">
        <v>1237</v>
      </c>
      <c r="I437" s="118" t="s">
        <v>46</v>
      </c>
      <c r="J437" s="7" t="s">
        <v>913</v>
      </c>
      <c r="K437" s="8" t="s">
        <v>913</v>
      </c>
      <c r="L437" s="8" t="s">
        <v>913</v>
      </c>
      <c r="M437" s="8" t="s">
        <v>913</v>
      </c>
      <c r="N437" s="8" t="s">
        <v>913</v>
      </c>
      <c r="O437" s="8" t="s">
        <v>913</v>
      </c>
      <c r="P437" s="8">
        <f t="shared" ref="P437:P455" si="21">CEILING(SUM(K437:O437),100)</f>
        <v>0</v>
      </c>
      <c r="Q437" s="18" t="s">
        <v>914</v>
      </c>
      <c r="R437" s="9" t="s">
        <v>1212</v>
      </c>
      <c r="T437" s="2" t="s">
        <v>1355</v>
      </c>
    </row>
    <row r="438" spans="1:20" ht="94.5" x14ac:dyDescent="0.25">
      <c r="A438" s="131"/>
      <c r="B438" s="149"/>
      <c r="C438" s="27" t="s">
        <v>746</v>
      </c>
      <c r="D438" s="121"/>
      <c r="E438" s="121"/>
      <c r="F438" s="121"/>
      <c r="G438" s="121"/>
      <c r="H438" s="121"/>
      <c r="I438" s="121"/>
      <c r="J438" s="7" t="s">
        <v>913</v>
      </c>
      <c r="K438" s="16">
        <f>35000*1.04</f>
        <v>36400</v>
      </c>
      <c r="L438" s="8" t="s">
        <v>913</v>
      </c>
      <c r="M438" s="8" t="s">
        <v>913</v>
      </c>
      <c r="N438" s="8" t="s">
        <v>913</v>
      </c>
      <c r="O438" s="8" t="s">
        <v>913</v>
      </c>
      <c r="P438" s="8">
        <f t="shared" si="21"/>
        <v>36400</v>
      </c>
      <c r="Q438" s="18" t="s">
        <v>915</v>
      </c>
      <c r="R438" s="9" t="s">
        <v>1211</v>
      </c>
    </row>
    <row r="439" spans="1:20" ht="94.5" x14ac:dyDescent="0.25">
      <c r="A439" s="131"/>
      <c r="B439" s="149"/>
      <c r="C439" s="27" t="s">
        <v>646</v>
      </c>
      <c r="D439" s="121"/>
      <c r="E439" s="121"/>
      <c r="F439" s="121"/>
      <c r="G439" s="121"/>
      <c r="H439" s="121"/>
      <c r="I439" s="121"/>
      <c r="J439" s="7" t="s">
        <v>913</v>
      </c>
      <c r="K439" s="8" t="s">
        <v>913</v>
      </c>
      <c r="L439" s="8" t="s">
        <v>913</v>
      </c>
      <c r="M439" s="8" t="s">
        <v>913</v>
      </c>
      <c r="N439" s="8" t="s">
        <v>913</v>
      </c>
      <c r="O439" s="8" t="s">
        <v>913</v>
      </c>
      <c r="P439" s="8">
        <f t="shared" si="21"/>
        <v>0</v>
      </c>
      <c r="Q439" s="18" t="s">
        <v>916</v>
      </c>
      <c r="R439" s="18" t="s">
        <v>916</v>
      </c>
    </row>
    <row r="440" spans="1:20" ht="94.5" x14ac:dyDescent="0.25">
      <c r="A440" s="131"/>
      <c r="B440" s="149"/>
      <c r="C440" s="27" t="s">
        <v>596</v>
      </c>
      <c r="D440" s="121"/>
      <c r="E440" s="121"/>
      <c r="F440" s="121"/>
      <c r="G440" s="121"/>
      <c r="H440" s="121"/>
      <c r="I440" s="121"/>
      <c r="J440" s="7" t="s">
        <v>913</v>
      </c>
      <c r="K440" s="8" t="s">
        <v>913</v>
      </c>
      <c r="L440" s="8" t="s">
        <v>913</v>
      </c>
      <c r="M440" s="8" t="s">
        <v>913</v>
      </c>
      <c r="N440" s="8" t="s">
        <v>913</v>
      </c>
      <c r="O440" s="8" t="s">
        <v>913</v>
      </c>
      <c r="P440" s="8">
        <f t="shared" si="21"/>
        <v>0</v>
      </c>
      <c r="Q440" s="18" t="s">
        <v>916</v>
      </c>
      <c r="R440" s="18" t="s">
        <v>916</v>
      </c>
    </row>
    <row r="441" spans="1:20" ht="67.5" x14ac:dyDescent="0.25">
      <c r="A441" s="131"/>
      <c r="B441" s="149"/>
      <c r="C441" s="27" t="s">
        <v>747</v>
      </c>
      <c r="D441" s="121"/>
      <c r="E441" s="121"/>
      <c r="F441" s="121"/>
      <c r="G441" s="121"/>
      <c r="H441" s="121"/>
      <c r="I441" s="121"/>
      <c r="J441" s="7" t="s">
        <v>913</v>
      </c>
      <c r="K441" s="8" t="s">
        <v>913</v>
      </c>
      <c r="L441" s="8" t="s">
        <v>913</v>
      </c>
      <c r="M441" s="8" t="s">
        <v>913</v>
      </c>
      <c r="N441" s="8" t="s">
        <v>913</v>
      </c>
      <c r="O441" s="8" t="s">
        <v>913</v>
      </c>
      <c r="P441" s="8">
        <f t="shared" si="21"/>
        <v>0</v>
      </c>
      <c r="Q441" s="18" t="s">
        <v>916</v>
      </c>
      <c r="R441" s="18" t="s">
        <v>916</v>
      </c>
    </row>
    <row r="442" spans="1:20" ht="94.5" x14ac:dyDescent="0.25">
      <c r="A442" s="131"/>
      <c r="B442" s="157"/>
      <c r="C442" s="27" t="s">
        <v>748</v>
      </c>
      <c r="D442" s="119"/>
      <c r="E442" s="119"/>
      <c r="F442" s="119"/>
      <c r="G442" s="121"/>
      <c r="H442" s="121"/>
      <c r="I442" s="121"/>
      <c r="J442" s="7" t="s">
        <v>913</v>
      </c>
      <c r="K442" s="8" t="s">
        <v>913</v>
      </c>
      <c r="L442" s="8" t="s">
        <v>913</v>
      </c>
      <c r="M442" s="8" t="s">
        <v>913</v>
      </c>
      <c r="N442" s="8" t="s">
        <v>913</v>
      </c>
      <c r="O442" s="8" t="s">
        <v>913</v>
      </c>
      <c r="P442" s="8">
        <f t="shared" si="21"/>
        <v>0</v>
      </c>
      <c r="Q442" s="18" t="s">
        <v>916</v>
      </c>
      <c r="R442" s="18" t="s">
        <v>916</v>
      </c>
    </row>
    <row r="443" spans="1:20" ht="81" x14ac:dyDescent="0.25">
      <c r="A443" s="127" t="s">
        <v>749</v>
      </c>
      <c r="B443" s="148" t="s">
        <v>1295</v>
      </c>
      <c r="C443" s="27" t="s">
        <v>750</v>
      </c>
      <c r="D443" s="118" t="s">
        <v>751</v>
      </c>
      <c r="E443" s="118" t="s">
        <v>513</v>
      </c>
      <c r="F443" s="118" t="s">
        <v>599</v>
      </c>
      <c r="G443" s="118">
        <v>0</v>
      </c>
      <c r="H443" s="118" t="s">
        <v>1236</v>
      </c>
      <c r="I443" s="118" t="s">
        <v>46</v>
      </c>
      <c r="J443" s="7" t="s">
        <v>913</v>
      </c>
      <c r="K443" s="8">
        <f>50000*1.04</f>
        <v>52000</v>
      </c>
      <c r="L443" s="8" t="s">
        <v>913</v>
      </c>
      <c r="M443" s="8" t="s">
        <v>913</v>
      </c>
      <c r="N443" s="8" t="s">
        <v>913</v>
      </c>
      <c r="O443" s="8" t="s">
        <v>913</v>
      </c>
      <c r="P443" s="8">
        <f t="shared" si="21"/>
        <v>52000</v>
      </c>
      <c r="Q443" s="18" t="s">
        <v>915</v>
      </c>
      <c r="R443" s="9" t="s">
        <v>1211</v>
      </c>
    </row>
    <row r="444" spans="1:20" ht="81" x14ac:dyDescent="0.25">
      <c r="A444" s="131"/>
      <c r="B444" s="149"/>
      <c r="C444" s="27" t="s">
        <v>597</v>
      </c>
      <c r="D444" s="121"/>
      <c r="E444" s="121"/>
      <c r="F444" s="121"/>
      <c r="G444" s="121"/>
      <c r="H444" s="121"/>
      <c r="I444" s="121"/>
      <c r="J444" s="7" t="s">
        <v>913</v>
      </c>
      <c r="K444" s="8" t="s">
        <v>913</v>
      </c>
      <c r="L444" s="8" t="s">
        <v>913</v>
      </c>
      <c r="M444" s="8" t="s">
        <v>913</v>
      </c>
      <c r="N444" s="8" t="s">
        <v>913</v>
      </c>
      <c r="O444" s="8" t="s">
        <v>913</v>
      </c>
      <c r="P444" s="8">
        <f t="shared" si="21"/>
        <v>0</v>
      </c>
      <c r="Q444" s="18" t="s">
        <v>917</v>
      </c>
      <c r="R444" s="18" t="s">
        <v>917</v>
      </c>
    </row>
    <row r="445" spans="1:20" ht="40.5" x14ac:dyDescent="0.25">
      <c r="A445" s="128"/>
      <c r="B445" s="157"/>
      <c r="C445" s="27" t="s">
        <v>598</v>
      </c>
      <c r="D445" s="119"/>
      <c r="E445" s="119"/>
      <c r="F445" s="119"/>
      <c r="G445" s="121"/>
      <c r="H445" s="119"/>
      <c r="I445" s="119"/>
      <c r="J445" s="7" t="s">
        <v>913</v>
      </c>
      <c r="K445" s="8" t="s">
        <v>913</v>
      </c>
      <c r="L445" s="8" t="s">
        <v>913</v>
      </c>
      <c r="M445" s="8" t="s">
        <v>913</v>
      </c>
      <c r="N445" s="8" t="s">
        <v>913</v>
      </c>
      <c r="O445" s="8" t="s">
        <v>913</v>
      </c>
      <c r="P445" s="8">
        <f t="shared" si="21"/>
        <v>0</v>
      </c>
      <c r="Q445" s="18" t="s">
        <v>917</v>
      </c>
      <c r="R445" s="18" t="s">
        <v>917</v>
      </c>
    </row>
    <row r="446" spans="1:20" ht="108" x14ac:dyDescent="0.25">
      <c r="A446" s="127" t="s">
        <v>525</v>
      </c>
      <c r="B446" s="118" t="s">
        <v>752</v>
      </c>
      <c r="C446" s="27" t="s">
        <v>600</v>
      </c>
      <c r="D446" s="118" t="s">
        <v>540</v>
      </c>
      <c r="E446" s="118" t="s">
        <v>514</v>
      </c>
      <c r="F446" s="118" t="s">
        <v>753</v>
      </c>
      <c r="G446" s="150">
        <v>0</v>
      </c>
      <c r="H446" s="165" t="s">
        <v>1235</v>
      </c>
      <c r="I446" s="118" t="s">
        <v>46</v>
      </c>
      <c r="J446" s="7" t="s">
        <v>913</v>
      </c>
      <c r="K446" s="16">
        <f>5000*1.04</f>
        <v>5200</v>
      </c>
      <c r="L446" s="16">
        <f>+K446*1.04</f>
        <v>5408</v>
      </c>
      <c r="M446" s="16">
        <f>+L446*1.04</f>
        <v>5624.3200000000006</v>
      </c>
      <c r="N446" s="16">
        <f>+M446*1.04</f>
        <v>5849.2928000000011</v>
      </c>
      <c r="O446" s="16">
        <f>+N446*1.04</f>
        <v>6083.2645120000016</v>
      </c>
      <c r="P446" s="8">
        <f t="shared" si="21"/>
        <v>28200</v>
      </c>
      <c r="Q446" s="18" t="s">
        <v>918</v>
      </c>
      <c r="R446" s="9" t="s">
        <v>1211</v>
      </c>
    </row>
    <row r="447" spans="1:20" ht="67.5" x14ac:dyDescent="0.25">
      <c r="A447" s="131"/>
      <c r="B447" s="121"/>
      <c r="C447" s="27" t="s">
        <v>601</v>
      </c>
      <c r="D447" s="121"/>
      <c r="E447" s="121"/>
      <c r="F447" s="121"/>
      <c r="G447" s="121"/>
      <c r="H447" s="121"/>
      <c r="I447" s="121"/>
      <c r="J447" s="7" t="s">
        <v>913</v>
      </c>
      <c r="K447" s="8" t="s">
        <v>913</v>
      </c>
      <c r="L447" s="8" t="s">
        <v>913</v>
      </c>
      <c r="M447" s="8" t="s">
        <v>913</v>
      </c>
      <c r="N447" s="8" t="s">
        <v>913</v>
      </c>
      <c r="O447" s="8" t="s">
        <v>913</v>
      </c>
      <c r="P447" s="8">
        <f t="shared" si="21"/>
        <v>0</v>
      </c>
      <c r="Q447" s="18" t="s">
        <v>914</v>
      </c>
      <c r="R447" s="9" t="s">
        <v>1212</v>
      </c>
    </row>
    <row r="448" spans="1:20" ht="108" x14ac:dyDescent="0.25">
      <c r="A448" s="131"/>
      <c r="B448" s="121"/>
      <c r="C448" s="27" t="s">
        <v>602</v>
      </c>
      <c r="D448" s="121"/>
      <c r="E448" s="121"/>
      <c r="F448" s="121"/>
      <c r="G448" s="121"/>
      <c r="H448" s="121"/>
      <c r="I448" s="121"/>
      <c r="J448" s="7" t="s">
        <v>913</v>
      </c>
      <c r="K448" s="7" t="s">
        <v>913</v>
      </c>
      <c r="L448" s="8">
        <f>8000*1.04*1.04</f>
        <v>8652.8000000000011</v>
      </c>
      <c r="M448" s="7" t="s">
        <v>913</v>
      </c>
      <c r="N448" s="8">
        <f>+L448*1.04</f>
        <v>8998.9120000000021</v>
      </c>
      <c r="O448" s="7" t="s">
        <v>913</v>
      </c>
      <c r="P448" s="8">
        <f t="shared" si="21"/>
        <v>17700</v>
      </c>
      <c r="Q448" s="18" t="s">
        <v>915</v>
      </c>
      <c r="R448" s="9" t="s">
        <v>1211</v>
      </c>
    </row>
    <row r="449" spans="1:18" ht="121.5" x14ac:dyDescent="0.25">
      <c r="A449" s="131"/>
      <c r="B449" s="121"/>
      <c r="C449" s="27" t="s">
        <v>647</v>
      </c>
      <c r="D449" s="121"/>
      <c r="E449" s="121"/>
      <c r="F449" s="121"/>
      <c r="G449" s="121"/>
      <c r="H449" s="121"/>
      <c r="I449" s="121"/>
      <c r="J449" s="7" t="s">
        <v>913</v>
      </c>
      <c r="K449" s="7" t="s">
        <v>913</v>
      </c>
      <c r="L449" s="16">
        <f>25000*1.04</f>
        <v>26000</v>
      </c>
      <c r="M449" s="8" t="s">
        <v>913</v>
      </c>
      <c r="N449" s="8" t="s">
        <v>913</v>
      </c>
      <c r="O449" s="8" t="s">
        <v>913</v>
      </c>
      <c r="P449" s="8">
        <f t="shared" si="21"/>
        <v>26000</v>
      </c>
      <c r="Q449" s="18" t="s">
        <v>919</v>
      </c>
      <c r="R449" s="9" t="s">
        <v>1211</v>
      </c>
    </row>
    <row r="450" spans="1:18" ht="81" x14ac:dyDescent="0.25">
      <c r="A450" s="128"/>
      <c r="B450" s="119"/>
      <c r="C450" s="27" t="s">
        <v>754</v>
      </c>
      <c r="D450" s="119"/>
      <c r="E450" s="119"/>
      <c r="F450" s="119"/>
      <c r="G450" s="119"/>
      <c r="H450" s="119"/>
      <c r="I450" s="119"/>
      <c r="J450" s="7" t="s">
        <v>913</v>
      </c>
      <c r="K450" s="7" t="s">
        <v>913</v>
      </c>
      <c r="L450" s="16">
        <f>+(20*60)*1.04*1.04</f>
        <v>1297.92</v>
      </c>
      <c r="M450" s="16">
        <f>+L450*1.04</f>
        <v>1349.8368</v>
      </c>
      <c r="N450" s="16">
        <f>+M450*1.04</f>
        <v>1403.8302720000002</v>
      </c>
      <c r="O450" s="16">
        <f>+N450*1.04</f>
        <v>1459.9834828800001</v>
      </c>
      <c r="P450" s="8">
        <f t="shared" si="21"/>
        <v>5600</v>
      </c>
      <c r="Q450" s="18" t="s">
        <v>920</v>
      </c>
      <c r="R450" s="9" t="s">
        <v>1211</v>
      </c>
    </row>
    <row r="451" spans="1:18" ht="67.5" x14ac:dyDescent="0.25">
      <c r="A451" s="166" t="s">
        <v>526</v>
      </c>
      <c r="B451" s="122" t="s">
        <v>648</v>
      </c>
      <c r="C451" s="30" t="s">
        <v>755</v>
      </c>
      <c r="D451" s="122" t="s">
        <v>756</v>
      </c>
      <c r="E451" s="122" t="s">
        <v>649</v>
      </c>
      <c r="F451" s="122" t="s">
        <v>757</v>
      </c>
      <c r="G451" s="122">
        <v>0</v>
      </c>
      <c r="H451" s="122" t="s">
        <v>758</v>
      </c>
      <c r="I451" s="122" t="s">
        <v>46</v>
      </c>
      <c r="J451" s="7" t="s">
        <v>913</v>
      </c>
      <c r="K451" s="8" t="s">
        <v>913</v>
      </c>
      <c r="L451" s="8" t="s">
        <v>913</v>
      </c>
      <c r="M451" s="8" t="s">
        <v>913</v>
      </c>
      <c r="N451" s="8" t="s">
        <v>913</v>
      </c>
      <c r="O451" s="8" t="s">
        <v>913</v>
      </c>
      <c r="P451" s="8">
        <f t="shared" si="21"/>
        <v>0</v>
      </c>
      <c r="Q451" s="18" t="s">
        <v>914</v>
      </c>
      <c r="R451" s="9" t="s">
        <v>1212</v>
      </c>
    </row>
    <row r="452" spans="1:18" ht="54" x14ac:dyDescent="0.25">
      <c r="A452" s="167"/>
      <c r="B452" s="159"/>
      <c r="C452" s="30" t="s">
        <v>759</v>
      </c>
      <c r="D452" s="159"/>
      <c r="E452" s="159"/>
      <c r="F452" s="159"/>
      <c r="G452" s="159"/>
      <c r="H452" s="159"/>
      <c r="I452" s="159"/>
      <c r="J452" s="7" t="s">
        <v>913</v>
      </c>
      <c r="K452" s="8">
        <f>8000*1.04</f>
        <v>8320</v>
      </c>
      <c r="L452" s="8" t="s">
        <v>913</v>
      </c>
      <c r="M452" s="8" t="s">
        <v>913</v>
      </c>
      <c r="N452" s="8" t="s">
        <v>913</v>
      </c>
      <c r="O452" s="8" t="s">
        <v>913</v>
      </c>
      <c r="P452" s="8">
        <f t="shared" si="21"/>
        <v>8400</v>
      </c>
      <c r="Q452" s="18" t="s">
        <v>919</v>
      </c>
      <c r="R452" s="9" t="s">
        <v>1211</v>
      </c>
    </row>
    <row r="453" spans="1:18" ht="135" x14ac:dyDescent="0.25">
      <c r="A453" s="167"/>
      <c r="B453" s="159"/>
      <c r="C453" s="30" t="s">
        <v>760</v>
      </c>
      <c r="D453" s="159"/>
      <c r="E453" s="159"/>
      <c r="F453" s="159"/>
      <c r="G453" s="159"/>
      <c r="H453" s="159"/>
      <c r="I453" s="159"/>
      <c r="J453" s="7" t="s">
        <v>913</v>
      </c>
      <c r="K453" s="8" t="s">
        <v>913</v>
      </c>
      <c r="L453" s="8" t="s">
        <v>913</v>
      </c>
      <c r="M453" s="8" t="s">
        <v>913</v>
      </c>
      <c r="N453" s="8" t="s">
        <v>913</v>
      </c>
      <c r="O453" s="8" t="s">
        <v>913</v>
      </c>
      <c r="P453" s="8">
        <f t="shared" si="21"/>
        <v>0</v>
      </c>
      <c r="Q453" s="18" t="s">
        <v>921</v>
      </c>
      <c r="R453" s="18" t="s">
        <v>921</v>
      </c>
    </row>
    <row r="454" spans="1:18" ht="67.5" x14ac:dyDescent="0.25">
      <c r="A454" s="167"/>
      <c r="B454" s="159"/>
      <c r="C454" s="30" t="s">
        <v>761</v>
      </c>
      <c r="D454" s="159"/>
      <c r="E454" s="159"/>
      <c r="F454" s="159"/>
      <c r="G454" s="159"/>
      <c r="H454" s="159"/>
      <c r="I454" s="159"/>
      <c r="J454" s="7" t="s">
        <v>913</v>
      </c>
      <c r="K454" s="8" t="s">
        <v>913</v>
      </c>
      <c r="L454" s="16">
        <f>+(120000/2)*1.04*1.04</f>
        <v>64896</v>
      </c>
      <c r="M454" s="16">
        <f>+L454*1.04</f>
        <v>67491.839999999997</v>
      </c>
      <c r="N454" s="8" t="s">
        <v>913</v>
      </c>
      <c r="O454" s="8" t="s">
        <v>913</v>
      </c>
      <c r="P454" s="8">
        <f t="shared" si="21"/>
        <v>132400</v>
      </c>
      <c r="Q454" s="18" t="s">
        <v>923</v>
      </c>
      <c r="R454" s="9" t="s">
        <v>1211</v>
      </c>
    </row>
    <row r="455" spans="1:18" ht="189" x14ac:dyDescent="0.25">
      <c r="A455" s="168"/>
      <c r="B455" s="123"/>
      <c r="C455" s="75" t="s">
        <v>922</v>
      </c>
      <c r="D455" s="123"/>
      <c r="E455" s="123"/>
      <c r="F455" s="123"/>
      <c r="G455" s="159"/>
      <c r="H455" s="123"/>
      <c r="I455" s="123"/>
      <c r="J455" s="70" t="s">
        <v>913</v>
      </c>
      <c r="K455" s="72" t="s">
        <v>913</v>
      </c>
      <c r="L455" s="72" t="s">
        <v>913</v>
      </c>
      <c r="M455" s="72" t="s">
        <v>913</v>
      </c>
      <c r="N455" s="72" t="s">
        <v>913</v>
      </c>
      <c r="O455" s="72" t="s">
        <v>913</v>
      </c>
      <c r="P455" s="72">
        <f t="shared" si="21"/>
        <v>0</v>
      </c>
      <c r="Q455" s="95" t="s">
        <v>921</v>
      </c>
      <c r="R455" s="95" t="s">
        <v>921</v>
      </c>
    </row>
    <row r="456" spans="1:18" s="21" customFormat="1" x14ac:dyDescent="0.25">
      <c r="A456" s="145" t="s">
        <v>306</v>
      </c>
      <c r="B456" s="145"/>
      <c r="C456" s="145"/>
      <c r="D456" s="145"/>
      <c r="E456" s="145"/>
      <c r="F456" s="145"/>
      <c r="G456" s="145"/>
      <c r="H456" s="145"/>
      <c r="I456" s="145"/>
      <c r="J456" s="79"/>
      <c r="K456" s="98"/>
      <c r="L456" s="98"/>
      <c r="M456" s="98"/>
      <c r="N456" s="98"/>
      <c r="O456" s="98"/>
      <c r="P456" s="98">
        <f>SUM(P437:P455)</f>
        <v>306700</v>
      </c>
      <c r="Q456" s="99"/>
      <c r="R456" s="99"/>
    </row>
    <row r="457" spans="1:18" s="21" customFormat="1" ht="14.25" x14ac:dyDescent="0.25">
      <c r="A457" s="158" t="s">
        <v>762</v>
      </c>
      <c r="B457" s="158"/>
      <c r="C457" s="158"/>
      <c r="D457" s="158"/>
      <c r="E457" s="158"/>
      <c r="F457" s="158"/>
      <c r="G457" s="158"/>
      <c r="H457" s="158"/>
      <c r="I457" s="158"/>
      <c r="J457" s="158"/>
      <c r="K457" s="158"/>
      <c r="L457" s="158"/>
      <c r="M457" s="158"/>
      <c r="N457" s="158"/>
      <c r="O457" s="158"/>
      <c r="P457" s="158"/>
      <c r="Q457" s="158"/>
      <c r="R457" s="81"/>
    </row>
    <row r="458" spans="1:18" ht="270" x14ac:dyDescent="0.25">
      <c r="A458" s="161" t="s">
        <v>763</v>
      </c>
      <c r="B458" s="148" t="s">
        <v>764</v>
      </c>
      <c r="C458" s="76" t="s">
        <v>1301</v>
      </c>
      <c r="D458" s="122" t="s">
        <v>1302</v>
      </c>
      <c r="E458" s="118" t="s">
        <v>765</v>
      </c>
      <c r="F458" s="118" t="s">
        <v>1303</v>
      </c>
      <c r="G458" s="148">
        <v>0</v>
      </c>
      <c r="H458" s="148" t="s">
        <v>1304</v>
      </c>
      <c r="I458" s="148" t="s">
        <v>46</v>
      </c>
      <c r="J458" s="71" t="s">
        <v>913</v>
      </c>
      <c r="K458" s="96">
        <f>10000*1.04</f>
        <v>10400</v>
      </c>
      <c r="L458" s="73" t="s">
        <v>913</v>
      </c>
      <c r="M458" s="73" t="s">
        <v>913</v>
      </c>
      <c r="N458" s="73" t="s">
        <v>913</v>
      </c>
      <c r="O458" s="73" t="s">
        <v>913</v>
      </c>
      <c r="P458" s="73">
        <f t="shared" ref="P458:P485" si="22">CEILING(SUM(K458:O458),100)</f>
        <v>10400</v>
      </c>
      <c r="Q458" s="97" t="s">
        <v>919</v>
      </c>
      <c r="R458" s="67" t="s">
        <v>1211</v>
      </c>
    </row>
    <row r="459" spans="1:18" ht="94.5" x14ac:dyDescent="0.25">
      <c r="A459" s="162"/>
      <c r="B459" s="149"/>
      <c r="C459" s="31" t="s">
        <v>766</v>
      </c>
      <c r="D459" s="159"/>
      <c r="E459" s="121"/>
      <c r="F459" s="121"/>
      <c r="G459" s="149"/>
      <c r="H459" s="149"/>
      <c r="I459" s="149"/>
      <c r="J459" s="7" t="s">
        <v>913</v>
      </c>
      <c r="K459" s="8" t="s">
        <v>913</v>
      </c>
      <c r="L459" s="8" t="s">
        <v>913</v>
      </c>
      <c r="M459" s="8" t="s">
        <v>913</v>
      </c>
      <c r="N459" s="8" t="s">
        <v>913</v>
      </c>
      <c r="O459" s="8" t="s">
        <v>913</v>
      </c>
      <c r="P459" s="8">
        <f t="shared" si="22"/>
        <v>0</v>
      </c>
      <c r="Q459" s="18" t="s">
        <v>924</v>
      </c>
      <c r="R459" s="18" t="s">
        <v>924</v>
      </c>
    </row>
    <row r="460" spans="1:18" ht="54" x14ac:dyDescent="0.25">
      <c r="A460" s="162"/>
      <c r="B460" s="149"/>
      <c r="C460" s="31" t="s">
        <v>767</v>
      </c>
      <c r="D460" s="159"/>
      <c r="E460" s="121"/>
      <c r="F460" s="121"/>
      <c r="G460" s="149"/>
      <c r="H460" s="149"/>
      <c r="I460" s="149"/>
      <c r="J460" s="7" t="s">
        <v>913</v>
      </c>
      <c r="K460" s="8" t="s">
        <v>913</v>
      </c>
      <c r="L460" s="16">
        <f>50000*1.04*1.04</f>
        <v>54080</v>
      </c>
      <c r="M460" s="8" t="s">
        <v>913</v>
      </c>
      <c r="N460" s="8" t="s">
        <v>913</v>
      </c>
      <c r="O460" s="8" t="s">
        <v>913</v>
      </c>
      <c r="P460" s="8">
        <f t="shared" si="22"/>
        <v>54100</v>
      </c>
      <c r="Q460" s="18" t="s">
        <v>919</v>
      </c>
      <c r="R460" s="9" t="s">
        <v>1211</v>
      </c>
    </row>
    <row r="461" spans="1:18" ht="94.5" x14ac:dyDescent="0.25">
      <c r="A461" s="161" t="s">
        <v>527</v>
      </c>
      <c r="B461" s="148" t="s">
        <v>1305</v>
      </c>
      <c r="C461" s="31" t="s">
        <v>768</v>
      </c>
      <c r="D461" s="148" t="s">
        <v>769</v>
      </c>
      <c r="E461" s="148" t="s">
        <v>770</v>
      </c>
      <c r="F461" s="148" t="s">
        <v>771</v>
      </c>
      <c r="G461" s="148">
        <v>0</v>
      </c>
      <c r="H461" s="148" t="s">
        <v>1230</v>
      </c>
      <c r="I461" s="148" t="s">
        <v>46</v>
      </c>
      <c r="J461" s="7" t="s">
        <v>913</v>
      </c>
      <c r="K461" s="8" t="s">
        <v>913</v>
      </c>
      <c r="L461" s="16">
        <f>45000*1.04*1.04</f>
        <v>48672</v>
      </c>
      <c r="M461" s="8" t="s">
        <v>913</v>
      </c>
      <c r="N461" s="8" t="s">
        <v>913</v>
      </c>
      <c r="O461" s="8" t="s">
        <v>913</v>
      </c>
      <c r="P461" s="8">
        <f t="shared" si="22"/>
        <v>48700</v>
      </c>
      <c r="Q461" s="18" t="s">
        <v>919</v>
      </c>
      <c r="R461" s="9" t="s">
        <v>1211</v>
      </c>
    </row>
    <row r="462" spans="1:18" ht="81" x14ac:dyDescent="0.25">
      <c r="A462" s="162"/>
      <c r="B462" s="149"/>
      <c r="C462" s="31" t="s">
        <v>530</v>
      </c>
      <c r="D462" s="149"/>
      <c r="E462" s="149"/>
      <c r="F462" s="149"/>
      <c r="G462" s="149"/>
      <c r="H462" s="149"/>
      <c r="I462" s="149"/>
      <c r="J462" s="7" t="s">
        <v>913</v>
      </c>
      <c r="K462" s="8" t="s">
        <v>913</v>
      </c>
      <c r="L462" s="8" t="s">
        <v>913</v>
      </c>
      <c r="M462" s="8" t="s">
        <v>913</v>
      </c>
      <c r="N462" s="8" t="s">
        <v>913</v>
      </c>
      <c r="O462" s="8" t="s">
        <v>913</v>
      </c>
      <c r="P462" s="8">
        <f t="shared" si="22"/>
        <v>0</v>
      </c>
      <c r="Q462" s="18" t="s">
        <v>925</v>
      </c>
      <c r="R462" s="18" t="s">
        <v>925</v>
      </c>
    </row>
    <row r="463" spans="1:18" ht="108" x14ac:dyDescent="0.25">
      <c r="A463" s="162"/>
      <c r="B463" s="149"/>
      <c r="C463" s="31" t="s">
        <v>473</v>
      </c>
      <c r="D463" s="149"/>
      <c r="E463" s="149"/>
      <c r="F463" s="149"/>
      <c r="G463" s="149"/>
      <c r="H463" s="149"/>
      <c r="I463" s="149"/>
      <c r="J463" s="7" t="s">
        <v>913</v>
      </c>
      <c r="K463" s="8" t="s">
        <v>913</v>
      </c>
      <c r="L463" s="8" t="s">
        <v>913</v>
      </c>
      <c r="M463" s="8" t="s">
        <v>913</v>
      </c>
      <c r="N463" s="8" t="s">
        <v>913</v>
      </c>
      <c r="O463" s="8" t="s">
        <v>913</v>
      </c>
      <c r="P463" s="8">
        <f t="shared" si="22"/>
        <v>0</v>
      </c>
      <c r="Q463" s="18" t="s">
        <v>914</v>
      </c>
      <c r="R463" s="9" t="s">
        <v>1212</v>
      </c>
    </row>
    <row r="464" spans="1:18" ht="54" x14ac:dyDescent="0.25">
      <c r="A464" s="162"/>
      <c r="B464" s="149"/>
      <c r="C464" s="31" t="s">
        <v>1306</v>
      </c>
      <c r="D464" s="149"/>
      <c r="E464" s="149"/>
      <c r="F464" s="149"/>
      <c r="G464" s="149"/>
      <c r="H464" s="149"/>
      <c r="I464" s="149"/>
      <c r="J464" s="7" t="s">
        <v>913</v>
      </c>
      <c r="K464" s="8" t="s">
        <v>913</v>
      </c>
      <c r="L464" s="8" t="s">
        <v>913</v>
      </c>
      <c r="M464" s="16">
        <f>50000*1.04</f>
        <v>52000</v>
      </c>
      <c r="N464" s="8" t="s">
        <v>913</v>
      </c>
      <c r="O464" s="8" t="s">
        <v>913</v>
      </c>
      <c r="P464" s="8">
        <f t="shared" si="22"/>
        <v>52000</v>
      </c>
      <c r="Q464" s="18" t="s">
        <v>919</v>
      </c>
      <c r="R464" s="9" t="s">
        <v>1211</v>
      </c>
    </row>
    <row r="465" spans="1:18" ht="40.5" x14ac:dyDescent="0.25">
      <c r="A465" s="162"/>
      <c r="B465" s="149"/>
      <c r="C465" s="31" t="s">
        <v>475</v>
      </c>
      <c r="D465" s="149"/>
      <c r="E465" s="149"/>
      <c r="F465" s="149"/>
      <c r="G465" s="149"/>
      <c r="H465" s="149"/>
      <c r="I465" s="149"/>
      <c r="J465" s="7" t="s">
        <v>913</v>
      </c>
      <c r="K465" s="8" t="s">
        <v>913</v>
      </c>
      <c r="L465" s="8" t="s">
        <v>913</v>
      </c>
      <c r="M465" s="8" t="s">
        <v>913</v>
      </c>
      <c r="N465" s="8" t="s">
        <v>913</v>
      </c>
      <c r="O465" s="8" t="s">
        <v>913</v>
      </c>
      <c r="P465" s="8">
        <f t="shared" si="22"/>
        <v>0</v>
      </c>
      <c r="Q465" s="18" t="s">
        <v>926</v>
      </c>
      <c r="R465" s="18" t="s">
        <v>926</v>
      </c>
    </row>
    <row r="466" spans="1:18" ht="148.5" x14ac:dyDescent="0.25">
      <c r="A466" s="162"/>
      <c r="B466" s="149"/>
      <c r="C466" s="31" t="s">
        <v>476</v>
      </c>
      <c r="D466" s="149"/>
      <c r="E466" s="149"/>
      <c r="F466" s="149"/>
      <c r="G466" s="149"/>
      <c r="H466" s="149"/>
      <c r="I466" s="149"/>
      <c r="J466" s="7" t="s">
        <v>913</v>
      </c>
      <c r="K466" s="8" t="s">
        <v>913</v>
      </c>
      <c r="L466" s="8" t="s">
        <v>913</v>
      </c>
      <c r="M466" s="8" t="s">
        <v>913</v>
      </c>
      <c r="N466" s="8" t="s">
        <v>913</v>
      </c>
      <c r="O466" s="8" t="s">
        <v>913</v>
      </c>
      <c r="P466" s="8">
        <f t="shared" si="22"/>
        <v>0</v>
      </c>
      <c r="Q466" s="18" t="s">
        <v>926</v>
      </c>
      <c r="R466" s="18" t="s">
        <v>926</v>
      </c>
    </row>
    <row r="467" spans="1:18" ht="94.5" x14ac:dyDescent="0.25">
      <c r="A467" s="162"/>
      <c r="B467" s="149"/>
      <c r="C467" s="31" t="s">
        <v>477</v>
      </c>
      <c r="D467" s="149"/>
      <c r="E467" s="149"/>
      <c r="F467" s="149"/>
      <c r="G467" s="149"/>
      <c r="H467" s="149"/>
      <c r="I467" s="149"/>
      <c r="J467" s="7" t="s">
        <v>913</v>
      </c>
      <c r="K467" s="8" t="s">
        <v>913</v>
      </c>
      <c r="L467" s="8" t="s">
        <v>913</v>
      </c>
      <c r="M467" s="8" t="s">
        <v>913</v>
      </c>
      <c r="N467" s="8" t="s">
        <v>913</v>
      </c>
      <c r="O467" s="8" t="s">
        <v>913</v>
      </c>
      <c r="P467" s="8">
        <f t="shared" si="22"/>
        <v>0</v>
      </c>
      <c r="Q467" s="18" t="s">
        <v>926</v>
      </c>
      <c r="R467" s="18" t="s">
        <v>926</v>
      </c>
    </row>
    <row r="468" spans="1:18" ht="54" x14ac:dyDescent="0.25">
      <c r="A468" s="162"/>
      <c r="B468" s="149"/>
      <c r="C468" s="31" t="s">
        <v>533</v>
      </c>
      <c r="D468" s="149"/>
      <c r="E468" s="149"/>
      <c r="F468" s="149"/>
      <c r="G468" s="149"/>
      <c r="H468" s="149"/>
      <c r="I468" s="149"/>
      <c r="J468" s="7" t="s">
        <v>913</v>
      </c>
      <c r="K468" s="8" t="s">
        <v>913</v>
      </c>
      <c r="L468" s="8" t="s">
        <v>913</v>
      </c>
      <c r="M468" s="8" t="s">
        <v>913</v>
      </c>
      <c r="N468" s="8" t="s">
        <v>913</v>
      </c>
      <c r="O468" s="8" t="s">
        <v>913</v>
      </c>
      <c r="P468" s="8">
        <f t="shared" si="22"/>
        <v>0</v>
      </c>
      <c r="Q468" s="18" t="s">
        <v>926</v>
      </c>
      <c r="R468" s="18" t="s">
        <v>926</v>
      </c>
    </row>
    <row r="469" spans="1:18" ht="108" x14ac:dyDescent="0.25">
      <c r="A469" s="163"/>
      <c r="B469" s="157"/>
      <c r="C469" s="31" t="s">
        <v>478</v>
      </c>
      <c r="D469" s="157"/>
      <c r="E469" s="157"/>
      <c r="F469" s="157"/>
      <c r="G469" s="157"/>
      <c r="H469" s="157"/>
      <c r="I469" s="157"/>
      <c r="J469" s="7" t="s">
        <v>913</v>
      </c>
      <c r="K469" s="8" t="s">
        <v>913</v>
      </c>
      <c r="L469" s="8" t="s">
        <v>913</v>
      </c>
      <c r="M469" s="8" t="s">
        <v>913</v>
      </c>
      <c r="N469" s="8" t="s">
        <v>913</v>
      </c>
      <c r="O469" s="8" t="s">
        <v>913</v>
      </c>
      <c r="P469" s="8">
        <f t="shared" si="22"/>
        <v>0</v>
      </c>
      <c r="Q469" s="18" t="s">
        <v>926</v>
      </c>
      <c r="R469" s="18" t="s">
        <v>926</v>
      </c>
    </row>
    <row r="470" spans="1:18" ht="108" x14ac:dyDescent="0.25">
      <c r="A470" s="127" t="s">
        <v>772</v>
      </c>
      <c r="B470" s="164" t="s">
        <v>773</v>
      </c>
      <c r="C470" s="27" t="s">
        <v>538</v>
      </c>
      <c r="D470" s="164" t="s">
        <v>539</v>
      </c>
      <c r="E470" s="164" t="s">
        <v>484</v>
      </c>
      <c r="F470" s="164" t="s">
        <v>485</v>
      </c>
      <c r="G470" s="164">
        <v>0</v>
      </c>
      <c r="H470" s="148" t="s">
        <v>1231</v>
      </c>
      <c r="I470" s="148" t="s">
        <v>46</v>
      </c>
      <c r="J470" s="7" t="s">
        <v>913</v>
      </c>
      <c r="K470" s="8" t="s">
        <v>913</v>
      </c>
      <c r="L470" s="16">
        <f>15000*1.04*1.04</f>
        <v>16224</v>
      </c>
      <c r="M470" s="8" t="s">
        <v>913</v>
      </c>
      <c r="N470" s="8" t="s">
        <v>913</v>
      </c>
      <c r="O470" s="8" t="s">
        <v>913</v>
      </c>
      <c r="P470" s="8">
        <f t="shared" si="22"/>
        <v>16300</v>
      </c>
      <c r="Q470" s="18" t="s">
        <v>919</v>
      </c>
      <c r="R470" s="9" t="s">
        <v>1211</v>
      </c>
    </row>
    <row r="471" spans="1:18" ht="54" x14ac:dyDescent="0.25">
      <c r="A471" s="131"/>
      <c r="B471" s="164"/>
      <c r="C471" s="27" t="s">
        <v>774</v>
      </c>
      <c r="D471" s="164"/>
      <c r="E471" s="164"/>
      <c r="F471" s="164"/>
      <c r="G471" s="164"/>
      <c r="H471" s="149"/>
      <c r="I471" s="149"/>
      <c r="J471" s="7" t="s">
        <v>913</v>
      </c>
      <c r="K471" s="8" t="s">
        <v>913</v>
      </c>
      <c r="L471" s="16">
        <f>20000*1.04*1.04</f>
        <v>21632</v>
      </c>
      <c r="M471" s="8" t="s">
        <v>913</v>
      </c>
      <c r="N471" s="8" t="s">
        <v>913</v>
      </c>
      <c r="O471" s="8" t="s">
        <v>913</v>
      </c>
      <c r="P471" s="8">
        <f t="shared" si="22"/>
        <v>21700</v>
      </c>
      <c r="Q471" s="18" t="s">
        <v>919</v>
      </c>
      <c r="R471" s="9" t="s">
        <v>1211</v>
      </c>
    </row>
    <row r="472" spans="1:18" ht="162" x14ac:dyDescent="0.25">
      <c r="A472" s="131"/>
      <c r="B472" s="164"/>
      <c r="C472" s="27" t="s">
        <v>486</v>
      </c>
      <c r="D472" s="164"/>
      <c r="E472" s="164"/>
      <c r="F472" s="164"/>
      <c r="G472" s="164"/>
      <c r="H472" s="149"/>
      <c r="I472" s="149"/>
      <c r="J472" s="7" t="s">
        <v>913</v>
      </c>
      <c r="K472" s="8" t="s">
        <v>913</v>
      </c>
      <c r="L472" s="8" t="s">
        <v>913</v>
      </c>
      <c r="M472" s="8" t="s">
        <v>913</v>
      </c>
      <c r="N472" s="8" t="s">
        <v>913</v>
      </c>
      <c r="O472" s="8" t="s">
        <v>913</v>
      </c>
      <c r="P472" s="8">
        <f t="shared" si="22"/>
        <v>0</v>
      </c>
      <c r="Q472" s="18" t="s">
        <v>927</v>
      </c>
      <c r="R472" s="18" t="s">
        <v>927</v>
      </c>
    </row>
    <row r="473" spans="1:18" ht="67.5" x14ac:dyDescent="0.25">
      <c r="A473" s="131"/>
      <c r="B473" s="164"/>
      <c r="C473" s="27" t="s">
        <v>487</v>
      </c>
      <c r="D473" s="164"/>
      <c r="E473" s="164"/>
      <c r="F473" s="164"/>
      <c r="G473" s="164"/>
      <c r="H473" s="149"/>
      <c r="I473" s="149"/>
      <c r="J473" s="7" t="s">
        <v>913</v>
      </c>
      <c r="K473" s="8" t="s">
        <v>913</v>
      </c>
      <c r="L473" s="8" t="s">
        <v>913</v>
      </c>
      <c r="M473" s="8" t="s">
        <v>913</v>
      </c>
      <c r="N473" s="8" t="s">
        <v>913</v>
      </c>
      <c r="O473" s="8" t="s">
        <v>913</v>
      </c>
      <c r="P473" s="8">
        <f t="shared" si="22"/>
        <v>0</v>
      </c>
      <c r="Q473" s="18" t="s">
        <v>927</v>
      </c>
      <c r="R473" s="18" t="s">
        <v>927</v>
      </c>
    </row>
    <row r="474" spans="1:18" ht="81" x14ac:dyDescent="0.25">
      <c r="A474" s="128"/>
      <c r="B474" s="164"/>
      <c r="C474" s="27" t="s">
        <v>488</v>
      </c>
      <c r="D474" s="164"/>
      <c r="E474" s="164"/>
      <c r="F474" s="164"/>
      <c r="G474" s="164"/>
      <c r="H474" s="157"/>
      <c r="I474" s="157"/>
      <c r="J474" s="7" t="s">
        <v>913</v>
      </c>
      <c r="K474" s="8" t="s">
        <v>913</v>
      </c>
      <c r="L474" s="8" t="s">
        <v>913</v>
      </c>
      <c r="M474" s="16">
        <f>5000*1.04*1.04*1.04</f>
        <v>5624.3200000000006</v>
      </c>
      <c r="N474" s="8" t="s">
        <v>913</v>
      </c>
      <c r="O474" s="8" t="s">
        <v>913</v>
      </c>
      <c r="P474" s="8">
        <f t="shared" si="22"/>
        <v>5700</v>
      </c>
      <c r="Q474" s="18" t="s">
        <v>928</v>
      </c>
      <c r="R474" s="9" t="s">
        <v>1211</v>
      </c>
    </row>
    <row r="475" spans="1:18" ht="81" x14ac:dyDescent="0.25">
      <c r="A475" s="146" t="s">
        <v>775</v>
      </c>
      <c r="B475" s="148" t="s">
        <v>1141</v>
      </c>
      <c r="C475" s="32" t="s">
        <v>1296</v>
      </c>
      <c r="D475" s="118" t="s">
        <v>1307</v>
      </c>
      <c r="E475" s="118" t="s">
        <v>1183</v>
      </c>
      <c r="F475" s="118" t="s">
        <v>776</v>
      </c>
      <c r="G475" s="150">
        <v>0.05</v>
      </c>
      <c r="H475" s="118" t="s">
        <v>1232</v>
      </c>
      <c r="I475" s="118" t="s">
        <v>46</v>
      </c>
      <c r="J475" s="7" t="s">
        <v>913</v>
      </c>
      <c r="K475" s="8" t="s">
        <v>913</v>
      </c>
      <c r="L475" s="8" t="s">
        <v>913</v>
      </c>
      <c r="M475" s="8" t="s">
        <v>913</v>
      </c>
      <c r="N475" s="8" t="s">
        <v>913</v>
      </c>
      <c r="O475" s="8" t="s">
        <v>913</v>
      </c>
      <c r="P475" s="8">
        <f t="shared" si="22"/>
        <v>0</v>
      </c>
      <c r="Q475" s="18" t="s">
        <v>914</v>
      </c>
      <c r="R475" s="9" t="s">
        <v>1212</v>
      </c>
    </row>
    <row r="476" spans="1:18" ht="54" x14ac:dyDescent="0.25">
      <c r="A476" s="147"/>
      <c r="B476" s="149"/>
      <c r="C476" s="27" t="s">
        <v>628</v>
      </c>
      <c r="D476" s="121"/>
      <c r="E476" s="121"/>
      <c r="F476" s="121"/>
      <c r="G476" s="151"/>
      <c r="H476" s="121"/>
      <c r="I476" s="121"/>
      <c r="J476" s="7" t="s">
        <v>913</v>
      </c>
      <c r="K476" s="16">
        <f>7000*1.04</f>
        <v>7280</v>
      </c>
      <c r="L476" s="8" t="s">
        <v>913</v>
      </c>
      <c r="M476" s="8" t="s">
        <v>913</v>
      </c>
      <c r="N476" s="8" t="s">
        <v>913</v>
      </c>
      <c r="O476" s="8" t="s">
        <v>913</v>
      </c>
      <c r="P476" s="8">
        <f t="shared" si="22"/>
        <v>7300</v>
      </c>
      <c r="Q476" s="18" t="s">
        <v>919</v>
      </c>
      <c r="R476" s="9" t="s">
        <v>1211</v>
      </c>
    </row>
    <row r="477" spans="1:18" ht="94.5" x14ac:dyDescent="0.25">
      <c r="A477" s="147"/>
      <c r="B477" s="149"/>
      <c r="C477" s="27" t="s">
        <v>1308</v>
      </c>
      <c r="D477" s="121"/>
      <c r="E477" s="121"/>
      <c r="F477" s="121"/>
      <c r="G477" s="121"/>
      <c r="H477" s="121"/>
      <c r="I477" s="121"/>
      <c r="J477" s="7" t="s">
        <v>913</v>
      </c>
      <c r="K477" s="8" t="s">
        <v>913</v>
      </c>
      <c r="L477" s="8" t="s">
        <v>913</v>
      </c>
      <c r="M477" s="8" t="s">
        <v>913</v>
      </c>
      <c r="N477" s="8" t="s">
        <v>913</v>
      </c>
      <c r="O477" s="8" t="s">
        <v>913</v>
      </c>
      <c r="P477" s="8">
        <f t="shared" si="22"/>
        <v>0</v>
      </c>
      <c r="Q477" s="18" t="s">
        <v>914</v>
      </c>
      <c r="R477" s="9" t="s">
        <v>1212</v>
      </c>
    </row>
    <row r="478" spans="1:18" ht="324" x14ac:dyDescent="0.25">
      <c r="A478" s="147"/>
      <c r="B478" s="149"/>
      <c r="C478" s="27" t="s">
        <v>1309</v>
      </c>
      <c r="D478" s="121"/>
      <c r="E478" s="121"/>
      <c r="F478" s="121"/>
      <c r="G478" s="121"/>
      <c r="H478" s="121"/>
      <c r="I478" s="121"/>
      <c r="J478" s="7" t="s">
        <v>913</v>
      </c>
      <c r="K478" s="8" t="s">
        <v>913</v>
      </c>
      <c r="L478" s="8" t="s">
        <v>913</v>
      </c>
      <c r="M478" s="8" t="s">
        <v>913</v>
      </c>
      <c r="N478" s="8" t="s">
        <v>913</v>
      </c>
      <c r="O478" s="8" t="s">
        <v>913</v>
      </c>
      <c r="P478" s="8">
        <f t="shared" si="22"/>
        <v>0</v>
      </c>
      <c r="Q478" s="18" t="s">
        <v>914</v>
      </c>
      <c r="R478" s="9" t="s">
        <v>1212</v>
      </c>
    </row>
    <row r="479" spans="1:18" ht="162" x14ac:dyDescent="0.25">
      <c r="A479" s="147"/>
      <c r="B479" s="149"/>
      <c r="C479" s="27" t="s">
        <v>777</v>
      </c>
      <c r="D479" s="121"/>
      <c r="E479" s="121"/>
      <c r="F479" s="121"/>
      <c r="G479" s="121"/>
      <c r="H479" s="121"/>
      <c r="I479" s="121"/>
      <c r="J479" s="7" t="s">
        <v>913</v>
      </c>
      <c r="K479" s="8" t="s">
        <v>913</v>
      </c>
      <c r="L479" s="8" t="s">
        <v>913</v>
      </c>
      <c r="M479" s="8" t="s">
        <v>913</v>
      </c>
      <c r="N479" s="8" t="s">
        <v>913</v>
      </c>
      <c r="O479" s="8" t="s">
        <v>913</v>
      </c>
      <c r="P479" s="8">
        <f t="shared" si="22"/>
        <v>0</v>
      </c>
      <c r="Q479" s="18" t="s">
        <v>914</v>
      </c>
      <c r="R479" s="9" t="s">
        <v>1212</v>
      </c>
    </row>
    <row r="480" spans="1:18" ht="108" x14ac:dyDescent="0.25">
      <c r="A480" s="147"/>
      <c r="B480" s="149"/>
      <c r="C480" s="27" t="s">
        <v>778</v>
      </c>
      <c r="D480" s="121"/>
      <c r="E480" s="121"/>
      <c r="F480" s="121"/>
      <c r="G480" s="121"/>
      <c r="H480" s="121"/>
      <c r="I480" s="121"/>
      <c r="J480" s="7" t="s">
        <v>913</v>
      </c>
      <c r="K480" s="8" t="s">
        <v>913</v>
      </c>
      <c r="L480" s="8" t="s">
        <v>913</v>
      </c>
      <c r="M480" s="8" t="s">
        <v>913</v>
      </c>
      <c r="N480" s="8" t="s">
        <v>913</v>
      </c>
      <c r="O480" s="8" t="s">
        <v>913</v>
      </c>
      <c r="P480" s="8">
        <f t="shared" si="22"/>
        <v>0</v>
      </c>
      <c r="Q480" s="18" t="s">
        <v>914</v>
      </c>
      <c r="R480" s="9" t="s">
        <v>1212</v>
      </c>
    </row>
    <row r="481" spans="1:18" ht="94.5" x14ac:dyDescent="0.25">
      <c r="A481" s="156"/>
      <c r="B481" s="157"/>
      <c r="C481" s="27" t="s">
        <v>779</v>
      </c>
      <c r="D481" s="119"/>
      <c r="E481" s="119"/>
      <c r="F481" s="119"/>
      <c r="G481" s="119"/>
      <c r="H481" s="119"/>
      <c r="I481" s="119"/>
      <c r="J481" s="7" t="s">
        <v>913</v>
      </c>
      <c r="K481" s="8" t="s">
        <v>913</v>
      </c>
      <c r="L481" s="8" t="s">
        <v>913</v>
      </c>
      <c r="M481" s="8" t="s">
        <v>913</v>
      </c>
      <c r="N481" s="8" t="s">
        <v>913</v>
      </c>
      <c r="O481" s="8" t="s">
        <v>913</v>
      </c>
      <c r="P481" s="8">
        <f t="shared" si="22"/>
        <v>0</v>
      </c>
      <c r="Q481" s="18" t="s">
        <v>914</v>
      </c>
      <c r="R481" s="9" t="s">
        <v>1212</v>
      </c>
    </row>
    <row r="482" spans="1:18" ht="94.5" x14ac:dyDescent="0.25">
      <c r="A482" s="127" t="s">
        <v>780</v>
      </c>
      <c r="B482" s="148" t="s">
        <v>524</v>
      </c>
      <c r="C482" s="27" t="s">
        <v>507</v>
      </c>
      <c r="D482" s="118" t="s">
        <v>1310</v>
      </c>
      <c r="E482" s="118" t="s">
        <v>508</v>
      </c>
      <c r="F482" s="118" t="s">
        <v>509</v>
      </c>
      <c r="G482" s="118">
        <v>0</v>
      </c>
      <c r="H482" s="118" t="s">
        <v>669</v>
      </c>
      <c r="I482" s="118" t="s">
        <v>46</v>
      </c>
      <c r="J482" s="7" t="s">
        <v>913</v>
      </c>
      <c r="K482" s="8" t="s">
        <v>913</v>
      </c>
      <c r="L482" s="8" t="s">
        <v>913</v>
      </c>
      <c r="M482" s="8" t="s">
        <v>913</v>
      </c>
      <c r="N482" s="8" t="s">
        <v>913</v>
      </c>
      <c r="O482" s="8" t="s">
        <v>913</v>
      </c>
      <c r="P482" s="8">
        <f t="shared" si="22"/>
        <v>0</v>
      </c>
      <c r="Q482" s="18" t="s">
        <v>914</v>
      </c>
      <c r="R482" s="9" t="s">
        <v>1212</v>
      </c>
    </row>
    <row r="483" spans="1:18" ht="81" x14ac:dyDescent="0.25">
      <c r="A483" s="131"/>
      <c r="B483" s="149"/>
      <c r="C483" s="27" t="s">
        <v>510</v>
      </c>
      <c r="D483" s="121"/>
      <c r="E483" s="121"/>
      <c r="F483" s="121"/>
      <c r="G483" s="121"/>
      <c r="H483" s="121"/>
      <c r="I483" s="121"/>
      <c r="J483" s="7" t="s">
        <v>913</v>
      </c>
      <c r="K483" s="22">
        <f>8000*1.04</f>
        <v>8320</v>
      </c>
      <c r="L483" s="8" t="s">
        <v>913</v>
      </c>
      <c r="M483" s="8" t="s">
        <v>913</v>
      </c>
      <c r="N483" s="8" t="s">
        <v>913</v>
      </c>
      <c r="O483" s="8" t="s">
        <v>913</v>
      </c>
      <c r="P483" s="8">
        <f t="shared" si="22"/>
        <v>8400</v>
      </c>
      <c r="Q483" s="18" t="s">
        <v>915</v>
      </c>
      <c r="R483" s="9" t="s">
        <v>1211</v>
      </c>
    </row>
    <row r="484" spans="1:18" ht="94.5" x14ac:dyDescent="0.25">
      <c r="A484" s="131"/>
      <c r="B484" s="149"/>
      <c r="C484" s="27" t="s">
        <v>511</v>
      </c>
      <c r="D484" s="121"/>
      <c r="E484" s="121"/>
      <c r="F484" s="121"/>
      <c r="G484" s="121"/>
      <c r="H484" s="121"/>
      <c r="I484" s="121"/>
      <c r="J484" s="7" t="s">
        <v>913</v>
      </c>
      <c r="K484" s="8" t="s">
        <v>913</v>
      </c>
      <c r="L484" s="16">
        <f>+(700/2*40)*1.04*1.04</f>
        <v>15142.4</v>
      </c>
      <c r="M484" s="16">
        <f>+L484*1.04</f>
        <v>15748.096</v>
      </c>
      <c r="N484" s="8" t="s">
        <v>913</v>
      </c>
      <c r="O484" s="8" t="s">
        <v>913</v>
      </c>
      <c r="P484" s="8">
        <f t="shared" si="22"/>
        <v>30900</v>
      </c>
      <c r="Q484" s="18" t="s">
        <v>929</v>
      </c>
      <c r="R484" s="9" t="s">
        <v>1211</v>
      </c>
    </row>
    <row r="485" spans="1:18" ht="94.5" x14ac:dyDescent="0.25">
      <c r="A485" s="128"/>
      <c r="B485" s="157"/>
      <c r="C485" s="68" t="s">
        <v>512</v>
      </c>
      <c r="D485" s="119"/>
      <c r="E485" s="119"/>
      <c r="F485" s="119"/>
      <c r="G485" s="119"/>
      <c r="H485" s="119"/>
      <c r="I485" s="119"/>
      <c r="J485" s="70" t="s">
        <v>913</v>
      </c>
      <c r="K485" s="72" t="s">
        <v>913</v>
      </c>
      <c r="L485" s="72" t="s">
        <v>913</v>
      </c>
      <c r="M485" s="72" t="s">
        <v>913</v>
      </c>
      <c r="N485" s="72" t="s">
        <v>913</v>
      </c>
      <c r="O485" s="72" t="s">
        <v>913</v>
      </c>
      <c r="P485" s="72">
        <f t="shared" si="22"/>
        <v>0</v>
      </c>
      <c r="Q485" s="95" t="s">
        <v>930</v>
      </c>
      <c r="R485" s="95" t="s">
        <v>930</v>
      </c>
    </row>
    <row r="486" spans="1:18" s="21" customFormat="1" x14ac:dyDescent="0.25">
      <c r="A486" s="145" t="s">
        <v>303</v>
      </c>
      <c r="B486" s="145"/>
      <c r="C486" s="145"/>
      <c r="D486" s="145"/>
      <c r="E486" s="145"/>
      <c r="F486" s="145"/>
      <c r="G486" s="145"/>
      <c r="H486" s="145"/>
      <c r="I486" s="145"/>
      <c r="J486" s="79"/>
      <c r="K486" s="98"/>
      <c r="L486" s="98"/>
      <c r="M486" s="98"/>
      <c r="N486" s="98"/>
      <c r="O486" s="98"/>
      <c r="P486" s="98">
        <f>SUM(P458:P485)</f>
        <v>255500</v>
      </c>
      <c r="Q486" s="99"/>
      <c r="R486" s="99"/>
    </row>
    <row r="487" spans="1:18" s="21" customFormat="1" ht="14.25" x14ac:dyDescent="0.25">
      <c r="A487" s="158" t="s">
        <v>1361</v>
      </c>
      <c r="B487" s="158"/>
      <c r="C487" s="158"/>
      <c r="D487" s="158"/>
      <c r="E487" s="158"/>
      <c r="F487" s="158"/>
      <c r="G487" s="158"/>
      <c r="H487" s="158"/>
      <c r="I487" s="158"/>
      <c r="J487" s="158"/>
      <c r="K487" s="158"/>
      <c r="L487" s="158"/>
      <c r="M487" s="158"/>
      <c r="N487" s="158"/>
      <c r="O487" s="158"/>
      <c r="P487" s="158"/>
      <c r="Q487" s="158"/>
      <c r="R487" s="81"/>
    </row>
    <row r="488" spans="1:18" ht="148.5" x14ac:dyDescent="0.25">
      <c r="A488" s="161" t="s">
        <v>781</v>
      </c>
      <c r="B488" s="148" t="s">
        <v>782</v>
      </c>
      <c r="C488" s="100" t="s">
        <v>783</v>
      </c>
      <c r="D488" s="148" t="s">
        <v>784</v>
      </c>
      <c r="E488" s="118" t="s">
        <v>515</v>
      </c>
      <c r="F488" s="118" t="s">
        <v>604</v>
      </c>
      <c r="G488" s="148">
        <v>0</v>
      </c>
      <c r="H488" s="206" t="s">
        <v>1311</v>
      </c>
      <c r="I488" s="148" t="s">
        <v>46</v>
      </c>
      <c r="J488" s="71" t="s">
        <v>913</v>
      </c>
      <c r="K488" s="73">
        <f>3000*1.04</f>
        <v>3120</v>
      </c>
      <c r="L488" s="73" t="s">
        <v>913</v>
      </c>
      <c r="M488" s="73" t="s">
        <v>913</v>
      </c>
      <c r="N488" s="73" t="s">
        <v>913</v>
      </c>
      <c r="O488" s="73" t="s">
        <v>913</v>
      </c>
      <c r="P488" s="73">
        <f>CEILING(SUM(K488:O488),100)</f>
        <v>3200</v>
      </c>
      <c r="Q488" s="97" t="s">
        <v>931</v>
      </c>
      <c r="R488" s="67" t="s">
        <v>1211</v>
      </c>
    </row>
    <row r="489" spans="1:18" ht="81" x14ac:dyDescent="0.25">
      <c r="A489" s="162"/>
      <c r="B489" s="149"/>
      <c r="C489" s="31" t="s">
        <v>785</v>
      </c>
      <c r="D489" s="149"/>
      <c r="E489" s="121"/>
      <c r="F489" s="121"/>
      <c r="G489" s="149"/>
      <c r="H489" s="149"/>
      <c r="I489" s="149"/>
      <c r="J489" s="7" t="s">
        <v>913</v>
      </c>
      <c r="K489" s="8" t="s">
        <v>913</v>
      </c>
      <c r="L489" s="8" t="s">
        <v>913</v>
      </c>
      <c r="M489" s="8" t="s">
        <v>913</v>
      </c>
      <c r="N489" s="8" t="s">
        <v>913</v>
      </c>
      <c r="O489" s="8" t="s">
        <v>913</v>
      </c>
      <c r="P489" s="8">
        <f>CEILING(SUM(K489:O489),100)</f>
        <v>0</v>
      </c>
      <c r="Q489" s="18" t="s">
        <v>932</v>
      </c>
      <c r="R489" s="18" t="s">
        <v>932</v>
      </c>
    </row>
    <row r="490" spans="1:18" ht="135" x14ac:dyDescent="0.25">
      <c r="A490" s="162"/>
      <c r="B490" s="149"/>
      <c r="C490" s="31" t="s">
        <v>786</v>
      </c>
      <c r="D490" s="149"/>
      <c r="E490" s="121"/>
      <c r="F490" s="121"/>
      <c r="G490" s="149"/>
      <c r="H490" s="149"/>
      <c r="I490" s="149"/>
      <c r="J490" s="7" t="s">
        <v>913</v>
      </c>
      <c r="K490" s="8" t="s">
        <v>913</v>
      </c>
      <c r="L490" s="8" t="s">
        <v>913</v>
      </c>
      <c r="M490" s="8" t="s">
        <v>913</v>
      </c>
      <c r="N490" s="8" t="s">
        <v>913</v>
      </c>
      <c r="O490" s="8" t="s">
        <v>913</v>
      </c>
      <c r="P490" s="8">
        <f>CEILING(SUM(K490:O490),100)</f>
        <v>0</v>
      </c>
      <c r="Q490" s="18" t="s">
        <v>932</v>
      </c>
      <c r="R490" s="18" t="s">
        <v>932</v>
      </c>
    </row>
    <row r="491" spans="1:18" ht="40.5" x14ac:dyDescent="0.25">
      <c r="A491" s="162"/>
      <c r="B491" s="149"/>
      <c r="C491" s="31" t="s">
        <v>787</v>
      </c>
      <c r="D491" s="149"/>
      <c r="E491" s="121"/>
      <c r="F491" s="121"/>
      <c r="G491" s="149"/>
      <c r="H491" s="149"/>
      <c r="I491" s="149"/>
      <c r="J491" s="7" t="s">
        <v>913</v>
      </c>
      <c r="K491" s="8" t="s">
        <v>913</v>
      </c>
      <c r="L491" s="8" t="s">
        <v>913</v>
      </c>
      <c r="M491" s="8" t="s">
        <v>913</v>
      </c>
      <c r="N491" s="8" t="s">
        <v>913</v>
      </c>
      <c r="O491" s="8" t="s">
        <v>913</v>
      </c>
      <c r="P491" s="8">
        <f>CEILING(SUM(K491:O491),100)</f>
        <v>0</v>
      </c>
      <c r="Q491" s="18" t="s">
        <v>932</v>
      </c>
      <c r="R491" s="18" t="s">
        <v>932</v>
      </c>
    </row>
    <row r="492" spans="1:18" ht="94.5" x14ac:dyDescent="0.25">
      <c r="A492" s="163"/>
      <c r="B492" s="157"/>
      <c r="C492" s="31" t="s">
        <v>1142</v>
      </c>
      <c r="D492" s="157"/>
      <c r="E492" s="119"/>
      <c r="F492" s="119"/>
      <c r="G492" s="157"/>
      <c r="H492" s="157"/>
      <c r="I492" s="157"/>
      <c r="J492" s="7" t="s">
        <v>913</v>
      </c>
      <c r="K492" s="8" t="s">
        <v>913</v>
      </c>
      <c r="L492" s="16">
        <f>5000*1.04*1.04</f>
        <v>5408</v>
      </c>
      <c r="M492" s="8" t="s">
        <v>913</v>
      </c>
      <c r="N492" s="8" t="s">
        <v>913</v>
      </c>
      <c r="O492" s="8" t="s">
        <v>913</v>
      </c>
      <c r="P492" s="8">
        <f t="shared" ref="P492:P513" si="23">CEILING(SUM(K492:O492),10)</f>
        <v>5410</v>
      </c>
      <c r="Q492" s="18" t="s">
        <v>915</v>
      </c>
      <c r="R492" s="9" t="s">
        <v>1211</v>
      </c>
    </row>
    <row r="493" spans="1:18" ht="67.5" x14ac:dyDescent="0.25">
      <c r="A493" s="161" t="s">
        <v>788</v>
      </c>
      <c r="B493" s="148" t="s">
        <v>1123</v>
      </c>
      <c r="C493" s="31" t="s">
        <v>789</v>
      </c>
      <c r="D493" s="148" t="s">
        <v>1297</v>
      </c>
      <c r="E493" s="148" t="s">
        <v>790</v>
      </c>
      <c r="F493" s="149" t="s">
        <v>933</v>
      </c>
      <c r="G493" s="148">
        <v>0</v>
      </c>
      <c r="H493" s="148" t="s">
        <v>1287</v>
      </c>
      <c r="I493" s="148" t="s">
        <v>46</v>
      </c>
      <c r="J493" s="7" t="s">
        <v>913</v>
      </c>
      <c r="K493" s="8">
        <f>30000*1.04</f>
        <v>31200</v>
      </c>
      <c r="L493" s="8" t="s">
        <v>913</v>
      </c>
      <c r="M493" s="8" t="s">
        <v>913</v>
      </c>
      <c r="N493" s="8" t="s">
        <v>913</v>
      </c>
      <c r="O493" s="8" t="s">
        <v>913</v>
      </c>
      <c r="P493" s="8">
        <f t="shared" si="23"/>
        <v>31200</v>
      </c>
      <c r="Q493" s="18" t="s">
        <v>934</v>
      </c>
      <c r="R493" s="9" t="s">
        <v>1211</v>
      </c>
    </row>
    <row r="494" spans="1:18" ht="81" x14ac:dyDescent="0.25">
      <c r="A494" s="162"/>
      <c r="B494" s="149"/>
      <c r="C494" s="31" t="s">
        <v>791</v>
      </c>
      <c r="D494" s="149"/>
      <c r="E494" s="149"/>
      <c r="F494" s="149"/>
      <c r="G494" s="149"/>
      <c r="H494" s="149"/>
      <c r="I494" s="149"/>
      <c r="J494" s="7" t="s">
        <v>913</v>
      </c>
      <c r="K494" s="8" t="s">
        <v>913</v>
      </c>
      <c r="L494" s="8" t="s">
        <v>913</v>
      </c>
      <c r="M494" s="8" t="s">
        <v>913</v>
      </c>
      <c r="N494" s="8" t="s">
        <v>913</v>
      </c>
      <c r="O494" s="8" t="s">
        <v>913</v>
      </c>
      <c r="P494" s="8">
        <f t="shared" si="23"/>
        <v>0</v>
      </c>
      <c r="Q494" s="18" t="s">
        <v>935</v>
      </c>
      <c r="R494" s="18" t="s">
        <v>935</v>
      </c>
    </row>
    <row r="495" spans="1:18" ht="202.5" x14ac:dyDescent="0.25">
      <c r="A495" s="162"/>
      <c r="B495" s="149"/>
      <c r="C495" s="31" t="s">
        <v>792</v>
      </c>
      <c r="D495" s="149"/>
      <c r="E495" s="149"/>
      <c r="F495" s="149"/>
      <c r="G495" s="149"/>
      <c r="H495" s="149"/>
      <c r="I495" s="149"/>
      <c r="J495" s="7" t="s">
        <v>913</v>
      </c>
      <c r="K495" s="8" t="s">
        <v>913</v>
      </c>
      <c r="L495" s="16">
        <f>15000*1.04*1.04</f>
        <v>16224</v>
      </c>
      <c r="M495" s="8" t="s">
        <v>913</v>
      </c>
      <c r="N495" s="8" t="s">
        <v>913</v>
      </c>
      <c r="O495" s="8" t="s">
        <v>913</v>
      </c>
      <c r="P495" s="8">
        <f t="shared" si="23"/>
        <v>16230</v>
      </c>
      <c r="Q495" s="18" t="s">
        <v>934</v>
      </c>
      <c r="R495" s="9" t="s">
        <v>1211</v>
      </c>
    </row>
    <row r="496" spans="1:18" ht="81" x14ac:dyDescent="0.25">
      <c r="A496" s="162"/>
      <c r="B496" s="149"/>
      <c r="C496" s="31" t="s">
        <v>793</v>
      </c>
      <c r="D496" s="149"/>
      <c r="E496" s="149"/>
      <c r="F496" s="149"/>
      <c r="G496" s="149"/>
      <c r="H496" s="149"/>
      <c r="I496" s="149"/>
      <c r="J496" s="7" t="s">
        <v>913</v>
      </c>
      <c r="K496" s="8" t="s">
        <v>913</v>
      </c>
      <c r="L496" s="8" t="s">
        <v>913</v>
      </c>
      <c r="M496" s="8" t="s">
        <v>913</v>
      </c>
      <c r="N496" s="8" t="s">
        <v>913</v>
      </c>
      <c r="O496" s="8" t="s">
        <v>913</v>
      </c>
      <c r="P496" s="8">
        <f t="shared" si="23"/>
        <v>0</v>
      </c>
      <c r="Q496" s="18" t="s">
        <v>936</v>
      </c>
      <c r="R496" s="18" t="s">
        <v>936</v>
      </c>
    </row>
    <row r="497" spans="1:18" ht="175.5" x14ac:dyDescent="0.25">
      <c r="A497" s="162"/>
      <c r="B497" s="149"/>
      <c r="C497" s="31" t="s">
        <v>1143</v>
      </c>
      <c r="D497" s="149"/>
      <c r="E497" s="149"/>
      <c r="F497" s="149"/>
      <c r="G497" s="149"/>
      <c r="H497" s="149"/>
      <c r="I497" s="149"/>
      <c r="J497" s="7" t="s">
        <v>913</v>
      </c>
      <c r="K497" s="8" t="s">
        <v>913</v>
      </c>
      <c r="L497" s="16">
        <f>8000*1.04*1.04</f>
        <v>8652.8000000000011</v>
      </c>
      <c r="M497" s="8" t="s">
        <v>913</v>
      </c>
      <c r="N497" s="8" t="s">
        <v>913</v>
      </c>
      <c r="O497" s="8" t="s">
        <v>913</v>
      </c>
      <c r="P497" s="8">
        <f t="shared" si="23"/>
        <v>8660</v>
      </c>
      <c r="Q497" s="18" t="s">
        <v>934</v>
      </c>
      <c r="R497" s="9" t="s">
        <v>1211</v>
      </c>
    </row>
    <row r="498" spans="1:18" ht="283.5" x14ac:dyDescent="0.25">
      <c r="A498" s="162"/>
      <c r="B498" s="149"/>
      <c r="C498" s="31" t="s">
        <v>794</v>
      </c>
      <c r="D498" s="149"/>
      <c r="E498" s="149"/>
      <c r="F498" s="149"/>
      <c r="G498" s="149"/>
      <c r="H498" s="149"/>
      <c r="I498" s="149"/>
      <c r="J498" s="7" t="s">
        <v>913</v>
      </c>
      <c r="K498" s="8" t="s">
        <v>913</v>
      </c>
      <c r="L498" s="8" t="s">
        <v>913</v>
      </c>
      <c r="M498" s="8" t="s">
        <v>913</v>
      </c>
      <c r="N498" s="8" t="s">
        <v>913</v>
      </c>
      <c r="O498" s="8" t="s">
        <v>913</v>
      </c>
      <c r="P498" s="8">
        <f t="shared" si="23"/>
        <v>0</v>
      </c>
      <c r="Q498" s="18" t="s">
        <v>937</v>
      </c>
      <c r="R498" s="18" t="s">
        <v>937</v>
      </c>
    </row>
    <row r="499" spans="1:18" ht="40.5" x14ac:dyDescent="0.25">
      <c r="A499" s="162"/>
      <c r="B499" s="149"/>
      <c r="C499" s="31" t="s">
        <v>795</v>
      </c>
      <c r="D499" s="149"/>
      <c r="E499" s="149"/>
      <c r="F499" s="149"/>
      <c r="G499" s="149"/>
      <c r="H499" s="149"/>
      <c r="I499" s="149"/>
      <c r="J499" s="7" t="s">
        <v>913</v>
      </c>
      <c r="K499" s="8" t="s">
        <v>913</v>
      </c>
      <c r="L499" s="8" t="s">
        <v>913</v>
      </c>
      <c r="M499" s="8" t="s">
        <v>913</v>
      </c>
      <c r="N499" s="8" t="s">
        <v>913</v>
      </c>
      <c r="O499" s="8" t="s">
        <v>913</v>
      </c>
      <c r="P499" s="8">
        <f t="shared" si="23"/>
        <v>0</v>
      </c>
      <c r="Q499" s="18" t="s">
        <v>937</v>
      </c>
      <c r="R499" s="18" t="s">
        <v>937</v>
      </c>
    </row>
    <row r="500" spans="1:18" ht="67.5" x14ac:dyDescent="0.25">
      <c r="A500" s="162"/>
      <c r="B500" s="149"/>
      <c r="C500" s="31" t="s">
        <v>796</v>
      </c>
      <c r="D500" s="149"/>
      <c r="E500" s="149"/>
      <c r="F500" s="149"/>
      <c r="G500" s="149"/>
      <c r="H500" s="149"/>
      <c r="I500" s="149"/>
      <c r="J500" s="7" t="s">
        <v>913</v>
      </c>
      <c r="K500" s="8" t="s">
        <v>913</v>
      </c>
      <c r="L500" s="8" t="s">
        <v>913</v>
      </c>
      <c r="M500" s="16">
        <f>60000*1.04*1.04*1.04</f>
        <v>67491.839999999997</v>
      </c>
      <c r="N500" s="8" t="s">
        <v>913</v>
      </c>
      <c r="O500" s="8" t="s">
        <v>913</v>
      </c>
      <c r="P500" s="8">
        <f t="shared" si="23"/>
        <v>67500</v>
      </c>
      <c r="Q500" s="18" t="s">
        <v>923</v>
      </c>
      <c r="R500" s="9" t="s">
        <v>1211</v>
      </c>
    </row>
    <row r="501" spans="1:18" ht="121.5" x14ac:dyDescent="0.25">
      <c r="A501" s="162"/>
      <c r="B501" s="149"/>
      <c r="C501" s="31" t="s">
        <v>797</v>
      </c>
      <c r="D501" s="149"/>
      <c r="E501" s="149"/>
      <c r="F501" s="149"/>
      <c r="G501" s="149"/>
      <c r="H501" s="149"/>
      <c r="I501" s="149"/>
      <c r="J501" s="7" t="s">
        <v>913</v>
      </c>
      <c r="K501" s="8" t="s">
        <v>913</v>
      </c>
      <c r="L501" s="8" t="s">
        <v>913</v>
      </c>
      <c r="M501" s="8" t="s">
        <v>913</v>
      </c>
      <c r="N501" s="8" t="s">
        <v>913</v>
      </c>
      <c r="O501" s="8" t="s">
        <v>913</v>
      </c>
      <c r="P501" s="8">
        <f t="shared" si="23"/>
        <v>0</v>
      </c>
      <c r="Q501" s="18" t="s">
        <v>938</v>
      </c>
      <c r="R501" s="18" t="s">
        <v>938</v>
      </c>
    </row>
    <row r="502" spans="1:18" ht="94.5" x14ac:dyDescent="0.25">
      <c r="A502" s="162"/>
      <c r="B502" s="149"/>
      <c r="C502" s="31" t="s">
        <v>798</v>
      </c>
      <c r="D502" s="149"/>
      <c r="E502" s="149"/>
      <c r="F502" s="149"/>
      <c r="G502" s="149"/>
      <c r="H502" s="149"/>
      <c r="I502" s="149"/>
      <c r="J502" s="7" t="s">
        <v>913</v>
      </c>
      <c r="K502" s="8" t="s">
        <v>913</v>
      </c>
      <c r="L502" s="8" t="s">
        <v>913</v>
      </c>
      <c r="M502" s="8" t="s">
        <v>913</v>
      </c>
      <c r="N502" s="8" t="s">
        <v>913</v>
      </c>
      <c r="O502" s="8" t="s">
        <v>913</v>
      </c>
      <c r="P502" s="8">
        <f t="shared" si="23"/>
        <v>0</v>
      </c>
      <c r="Q502" s="18" t="s">
        <v>938</v>
      </c>
      <c r="R502" s="18" t="s">
        <v>938</v>
      </c>
    </row>
    <row r="503" spans="1:18" ht="67.5" x14ac:dyDescent="0.25">
      <c r="A503" s="163"/>
      <c r="B503" s="157"/>
      <c r="C503" s="31" t="s">
        <v>799</v>
      </c>
      <c r="D503" s="157"/>
      <c r="E503" s="157"/>
      <c r="F503" s="157"/>
      <c r="G503" s="157"/>
      <c r="H503" s="157"/>
      <c r="I503" s="157"/>
      <c r="J503" s="7" t="s">
        <v>913</v>
      </c>
      <c r="K503" s="8" t="s">
        <v>913</v>
      </c>
      <c r="L503" s="8" t="s">
        <v>913</v>
      </c>
      <c r="M503" s="8" t="s">
        <v>913</v>
      </c>
      <c r="N503" s="8" t="s">
        <v>913</v>
      </c>
      <c r="O503" s="8" t="s">
        <v>913</v>
      </c>
      <c r="P503" s="8">
        <f t="shared" si="23"/>
        <v>0</v>
      </c>
      <c r="Q503" s="18" t="s">
        <v>938</v>
      </c>
      <c r="R503" s="18" t="s">
        <v>938</v>
      </c>
    </row>
    <row r="504" spans="1:18" ht="283.5" x14ac:dyDescent="0.25">
      <c r="A504" s="127" t="s">
        <v>800</v>
      </c>
      <c r="B504" s="149" t="s">
        <v>1203</v>
      </c>
      <c r="C504" s="33" t="s">
        <v>1204</v>
      </c>
      <c r="D504" s="121" t="s">
        <v>801</v>
      </c>
      <c r="E504" s="121" t="s">
        <v>536</v>
      </c>
      <c r="F504" s="121" t="s">
        <v>1208</v>
      </c>
      <c r="G504" s="121">
        <v>0</v>
      </c>
      <c r="H504" s="121" t="s">
        <v>1234</v>
      </c>
      <c r="I504" s="121" t="s">
        <v>46</v>
      </c>
      <c r="J504" s="7" t="s">
        <v>913</v>
      </c>
      <c r="K504" s="8" t="s">
        <v>913</v>
      </c>
      <c r="L504" s="8" t="s">
        <v>913</v>
      </c>
      <c r="M504" s="8" t="s">
        <v>913</v>
      </c>
      <c r="N504" s="8" t="s">
        <v>913</v>
      </c>
      <c r="O504" s="8" t="s">
        <v>913</v>
      </c>
      <c r="P504" s="8">
        <f t="shared" si="23"/>
        <v>0</v>
      </c>
      <c r="Q504" s="18" t="s">
        <v>939</v>
      </c>
      <c r="R504" s="9" t="s">
        <v>1212</v>
      </c>
    </row>
    <row r="505" spans="1:18" ht="337.5" x14ac:dyDescent="0.25">
      <c r="A505" s="131"/>
      <c r="B505" s="149"/>
      <c r="C505" s="27" t="s">
        <v>1229</v>
      </c>
      <c r="D505" s="121"/>
      <c r="E505" s="121"/>
      <c r="F505" s="121"/>
      <c r="G505" s="121"/>
      <c r="H505" s="121"/>
      <c r="I505" s="121"/>
      <c r="J505" s="7" t="s">
        <v>913</v>
      </c>
      <c r="K505" s="8" t="s">
        <v>913</v>
      </c>
      <c r="L505" s="8" t="s">
        <v>913</v>
      </c>
      <c r="M505" s="8" t="s">
        <v>913</v>
      </c>
      <c r="N505" s="8" t="s">
        <v>913</v>
      </c>
      <c r="O505" s="8" t="s">
        <v>913</v>
      </c>
      <c r="P505" s="8">
        <f t="shared" si="23"/>
        <v>0</v>
      </c>
      <c r="Q505" s="18" t="s">
        <v>939</v>
      </c>
      <c r="R505" s="9" t="s">
        <v>1212</v>
      </c>
    </row>
    <row r="506" spans="1:18" ht="94.5" x14ac:dyDescent="0.25">
      <c r="A506" s="131"/>
      <c r="B506" s="149"/>
      <c r="C506" s="27" t="s">
        <v>1205</v>
      </c>
      <c r="D506" s="121"/>
      <c r="E506" s="121"/>
      <c r="F506" s="121"/>
      <c r="G506" s="121"/>
      <c r="H506" s="121"/>
      <c r="I506" s="121"/>
      <c r="J506" s="7" t="s">
        <v>913</v>
      </c>
      <c r="K506" s="8" t="s">
        <v>913</v>
      </c>
      <c r="L506" s="8" t="s">
        <v>913</v>
      </c>
      <c r="M506" s="8" t="s">
        <v>913</v>
      </c>
      <c r="N506" s="8" t="s">
        <v>913</v>
      </c>
      <c r="O506" s="8" t="s">
        <v>913</v>
      </c>
      <c r="P506" s="8">
        <f t="shared" si="23"/>
        <v>0</v>
      </c>
      <c r="Q506" s="18" t="s">
        <v>939</v>
      </c>
      <c r="R506" s="9" t="s">
        <v>1212</v>
      </c>
    </row>
    <row r="507" spans="1:18" ht="69" customHeight="1" x14ac:dyDescent="0.25">
      <c r="A507" s="131"/>
      <c r="B507" s="149"/>
      <c r="C507" s="124" t="s">
        <v>1206</v>
      </c>
      <c r="D507" s="121"/>
      <c r="E507" s="121"/>
      <c r="F507" s="121"/>
      <c r="G507" s="121"/>
      <c r="H507" s="121"/>
      <c r="I507" s="121"/>
      <c r="J507" s="127" t="s">
        <v>913</v>
      </c>
      <c r="K507" s="129" t="s">
        <v>913</v>
      </c>
      <c r="L507" s="129" t="s">
        <v>913</v>
      </c>
      <c r="M507" s="129" t="s">
        <v>913</v>
      </c>
      <c r="N507" s="129" t="s">
        <v>913</v>
      </c>
      <c r="O507" s="129" t="s">
        <v>913</v>
      </c>
      <c r="P507" s="129">
        <f t="shared" si="23"/>
        <v>0</v>
      </c>
      <c r="Q507" s="124" t="s">
        <v>939</v>
      </c>
      <c r="R507" s="118" t="s">
        <v>1212</v>
      </c>
    </row>
    <row r="508" spans="1:18" x14ac:dyDescent="0.25">
      <c r="A508" s="128"/>
      <c r="B508" s="149"/>
      <c r="C508" s="126"/>
      <c r="D508" s="121"/>
      <c r="E508" s="121"/>
      <c r="F508" s="121"/>
      <c r="G508" s="121"/>
      <c r="H508" s="121"/>
      <c r="I508" s="121"/>
      <c r="J508" s="128"/>
      <c r="K508" s="130"/>
      <c r="L508" s="130"/>
      <c r="M508" s="130"/>
      <c r="N508" s="130"/>
      <c r="O508" s="130"/>
      <c r="P508" s="130"/>
      <c r="Q508" s="126"/>
      <c r="R508" s="119"/>
    </row>
    <row r="509" spans="1:18" ht="81" x14ac:dyDescent="0.25">
      <c r="A509" s="161" t="s">
        <v>802</v>
      </c>
      <c r="B509" s="148" t="s">
        <v>1184</v>
      </c>
      <c r="C509" s="31" t="s">
        <v>803</v>
      </c>
      <c r="D509" s="122" t="s">
        <v>1312</v>
      </c>
      <c r="E509" s="148" t="s">
        <v>1186</v>
      </c>
      <c r="F509" s="148" t="s">
        <v>804</v>
      </c>
      <c r="G509" s="148">
        <v>0</v>
      </c>
      <c r="H509" s="148" t="s">
        <v>1313</v>
      </c>
      <c r="I509" s="148" t="s">
        <v>46</v>
      </c>
      <c r="J509" s="7" t="s">
        <v>913</v>
      </c>
      <c r="K509" s="16">
        <f>5000*1.04</f>
        <v>5200</v>
      </c>
      <c r="L509" s="8" t="s">
        <v>913</v>
      </c>
      <c r="M509" s="8" t="s">
        <v>913</v>
      </c>
      <c r="N509" s="8" t="s">
        <v>913</v>
      </c>
      <c r="O509" s="8" t="s">
        <v>913</v>
      </c>
      <c r="P509" s="8">
        <f t="shared" si="23"/>
        <v>5200</v>
      </c>
      <c r="Q509" s="18" t="s">
        <v>940</v>
      </c>
      <c r="R509" s="9" t="s">
        <v>1211</v>
      </c>
    </row>
    <row r="510" spans="1:18" ht="135" x14ac:dyDescent="0.25">
      <c r="A510" s="162"/>
      <c r="B510" s="149"/>
      <c r="C510" s="31" t="s">
        <v>1185</v>
      </c>
      <c r="D510" s="159"/>
      <c r="E510" s="149"/>
      <c r="F510" s="149"/>
      <c r="G510" s="149"/>
      <c r="H510" s="149"/>
      <c r="I510" s="149"/>
      <c r="J510" s="7" t="s">
        <v>913</v>
      </c>
      <c r="K510" s="16">
        <f>8000*1.04</f>
        <v>8320</v>
      </c>
      <c r="L510" s="8" t="s">
        <v>913</v>
      </c>
      <c r="M510" s="8" t="s">
        <v>913</v>
      </c>
      <c r="N510" s="8" t="s">
        <v>913</v>
      </c>
      <c r="O510" s="8" t="s">
        <v>913</v>
      </c>
      <c r="P510" s="8">
        <f t="shared" si="23"/>
        <v>8320</v>
      </c>
      <c r="Q510" s="18" t="s">
        <v>941</v>
      </c>
      <c r="R510" s="9" t="s">
        <v>1211</v>
      </c>
    </row>
    <row r="511" spans="1:18" ht="135" x14ac:dyDescent="0.25">
      <c r="A511" s="162"/>
      <c r="B511" s="149"/>
      <c r="C511" s="31" t="s">
        <v>805</v>
      </c>
      <c r="D511" s="159"/>
      <c r="E511" s="149"/>
      <c r="F511" s="149"/>
      <c r="G511" s="149"/>
      <c r="H511" s="149"/>
      <c r="I511" s="149"/>
      <c r="J511" s="7" t="s">
        <v>913</v>
      </c>
      <c r="K511" s="8" t="s">
        <v>913</v>
      </c>
      <c r="L511" s="16">
        <f>5000*1.04*1.04</f>
        <v>5408</v>
      </c>
      <c r="M511" s="8" t="s">
        <v>913</v>
      </c>
      <c r="N511" s="8" t="s">
        <v>913</v>
      </c>
      <c r="O511" s="8" t="s">
        <v>913</v>
      </c>
      <c r="P511" s="8">
        <f t="shared" si="23"/>
        <v>5410</v>
      </c>
      <c r="Q511" s="18" t="s">
        <v>942</v>
      </c>
      <c r="R511" s="9" t="s">
        <v>1211</v>
      </c>
    </row>
    <row r="512" spans="1:18" ht="171.75" customHeight="1" x14ac:dyDescent="0.25">
      <c r="A512" s="162"/>
      <c r="B512" s="149"/>
      <c r="C512" s="31" t="s">
        <v>806</v>
      </c>
      <c r="D512" s="159"/>
      <c r="E512" s="149"/>
      <c r="F512" s="149"/>
      <c r="G512" s="149"/>
      <c r="H512" s="149"/>
      <c r="I512" s="149"/>
      <c r="J512" s="7" t="s">
        <v>913</v>
      </c>
      <c r="K512" s="8" t="s">
        <v>913</v>
      </c>
      <c r="L512" s="8" t="s">
        <v>913</v>
      </c>
      <c r="M512" s="8" t="s">
        <v>913</v>
      </c>
      <c r="N512" s="8" t="s">
        <v>913</v>
      </c>
      <c r="O512" s="8" t="s">
        <v>913</v>
      </c>
      <c r="P512" s="8">
        <f t="shared" si="23"/>
        <v>0</v>
      </c>
      <c r="Q512" s="18" t="s">
        <v>943</v>
      </c>
      <c r="R512" s="9" t="s">
        <v>1212</v>
      </c>
    </row>
    <row r="513" spans="1:18" ht="54" x14ac:dyDescent="0.25">
      <c r="A513" s="162"/>
      <c r="B513" s="149"/>
      <c r="C513" s="31" t="s">
        <v>807</v>
      </c>
      <c r="D513" s="123"/>
      <c r="E513" s="157"/>
      <c r="F513" s="157"/>
      <c r="G513" s="157"/>
      <c r="H513" s="157"/>
      <c r="I513" s="157"/>
      <c r="J513" s="7" t="s">
        <v>913</v>
      </c>
      <c r="K513" s="8" t="s">
        <v>913</v>
      </c>
      <c r="L513" s="16">
        <f>5000*1.04*1.04</f>
        <v>5408</v>
      </c>
      <c r="M513" s="8" t="s">
        <v>913</v>
      </c>
      <c r="N513" s="8" t="s">
        <v>913</v>
      </c>
      <c r="O513" s="8" t="s">
        <v>913</v>
      </c>
      <c r="P513" s="8">
        <f t="shared" si="23"/>
        <v>5410</v>
      </c>
      <c r="Q513" s="18" t="s">
        <v>944</v>
      </c>
      <c r="R513" s="9" t="s">
        <v>1211</v>
      </c>
    </row>
    <row r="514" spans="1:18" x14ac:dyDescent="0.25">
      <c r="A514" s="145" t="s">
        <v>306</v>
      </c>
      <c r="B514" s="145"/>
      <c r="C514" s="145"/>
      <c r="D514" s="145"/>
      <c r="E514" s="145"/>
      <c r="F514" s="145"/>
      <c r="G514" s="145"/>
      <c r="H514" s="145"/>
      <c r="I514" s="145"/>
      <c r="J514" s="61"/>
      <c r="K514" s="101"/>
      <c r="L514" s="102"/>
      <c r="M514" s="101"/>
      <c r="N514" s="101"/>
      <c r="O514" s="101"/>
      <c r="P514" s="101">
        <f>SUM(P488:P513)</f>
        <v>156540</v>
      </c>
      <c r="Q514" s="103"/>
      <c r="R514" s="104"/>
    </row>
    <row r="515" spans="1:18" ht="14.25" x14ac:dyDescent="0.25">
      <c r="A515" s="158" t="s">
        <v>808</v>
      </c>
      <c r="B515" s="158"/>
      <c r="C515" s="158"/>
      <c r="D515" s="158"/>
      <c r="E515" s="158"/>
      <c r="F515" s="158"/>
      <c r="G515" s="158"/>
      <c r="H515" s="158"/>
      <c r="I515" s="158"/>
      <c r="J515" s="158"/>
      <c r="K515" s="158"/>
      <c r="L515" s="158"/>
      <c r="M515" s="158"/>
      <c r="N515" s="158"/>
      <c r="O515" s="158"/>
      <c r="P515" s="158"/>
      <c r="Q515" s="158"/>
      <c r="R515" s="105"/>
    </row>
    <row r="516" spans="1:18" ht="121.5" x14ac:dyDescent="0.25">
      <c r="A516" s="136" t="s">
        <v>809</v>
      </c>
      <c r="B516" s="164" t="s">
        <v>810</v>
      </c>
      <c r="C516" s="27" t="s">
        <v>534</v>
      </c>
      <c r="D516" s="120" t="s">
        <v>535</v>
      </c>
      <c r="E516" s="120" t="s">
        <v>479</v>
      </c>
      <c r="F516" s="137">
        <v>1</v>
      </c>
      <c r="G516" s="137">
        <v>0.1</v>
      </c>
      <c r="H516" s="136" t="s">
        <v>1230</v>
      </c>
      <c r="I516" s="136" t="s">
        <v>46</v>
      </c>
      <c r="J516" s="7" t="s">
        <v>913</v>
      </c>
      <c r="K516" s="8" t="s">
        <v>913</v>
      </c>
      <c r="L516" s="8" t="s">
        <v>913</v>
      </c>
      <c r="M516" s="16">
        <f>20000*1.04*1.04*1.04</f>
        <v>22497.280000000002</v>
      </c>
      <c r="N516" s="8" t="s">
        <v>913</v>
      </c>
      <c r="O516" s="8" t="s">
        <v>913</v>
      </c>
      <c r="P516" s="8">
        <f t="shared" ref="P516:P543" si="24">CEILING(SUM(K516:O516),10)</f>
        <v>22500</v>
      </c>
      <c r="Q516" s="18" t="s">
        <v>944</v>
      </c>
      <c r="R516" s="9" t="s">
        <v>1211</v>
      </c>
    </row>
    <row r="517" spans="1:18" ht="121.5" x14ac:dyDescent="0.25">
      <c r="A517" s="136"/>
      <c r="B517" s="164"/>
      <c r="C517" s="27" t="s">
        <v>1314</v>
      </c>
      <c r="D517" s="120"/>
      <c r="E517" s="120"/>
      <c r="F517" s="137"/>
      <c r="G517" s="137"/>
      <c r="H517" s="136"/>
      <c r="I517" s="136"/>
      <c r="J517" s="7" t="s">
        <v>913</v>
      </c>
      <c r="K517" s="8" t="s">
        <v>913</v>
      </c>
      <c r="L517" s="8" t="s">
        <v>913</v>
      </c>
      <c r="M517" s="8" t="s">
        <v>913</v>
      </c>
      <c r="N517" s="8" t="s">
        <v>913</v>
      </c>
      <c r="O517" s="8" t="s">
        <v>913</v>
      </c>
      <c r="P517" s="8">
        <f t="shared" si="24"/>
        <v>0</v>
      </c>
      <c r="Q517" s="18" t="s">
        <v>945</v>
      </c>
      <c r="R517" s="18" t="s">
        <v>945</v>
      </c>
    </row>
    <row r="518" spans="1:18" ht="54" x14ac:dyDescent="0.25">
      <c r="A518" s="136"/>
      <c r="B518" s="164"/>
      <c r="C518" s="27" t="s">
        <v>480</v>
      </c>
      <c r="D518" s="120"/>
      <c r="E518" s="120"/>
      <c r="F518" s="137"/>
      <c r="G518" s="137"/>
      <c r="H518" s="136"/>
      <c r="I518" s="136"/>
      <c r="J518" s="7" t="s">
        <v>913</v>
      </c>
      <c r="K518" s="8" t="s">
        <v>913</v>
      </c>
      <c r="L518" s="8" t="s">
        <v>913</v>
      </c>
      <c r="M518" s="8" t="s">
        <v>913</v>
      </c>
      <c r="N518" s="8" t="s">
        <v>913</v>
      </c>
      <c r="O518" s="8" t="s">
        <v>913</v>
      </c>
      <c r="P518" s="8">
        <f t="shared" si="24"/>
        <v>0</v>
      </c>
      <c r="Q518" s="18" t="s">
        <v>943</v>
      </c>
      <c r="R518" s="9" t="s">
        <v>1212</v>
      </c>
    </row>
    <row r="519" spans="1:18" ht="94.5" x14ac:dyDescent="0.25">
      <c r="A519" s="136" t="s">
        <v>811</v>
      </c>
      <c r="B519" s="164" t="s">
        <v>812</v>
      </c>
      <c r="C519" s="27" t="s">
        <v>813</v>
      </c>
      <c r="D519" s="120" t="s">
        <v>546</v>
      </c>
      <c r="E519" s="120" t="s">
        <v>479</v>
      </c>
      <c r="F519" s="137">
        <v>1</v>
      </c>
      <c r="G519" s="137">
        <v>0.1</v>
      </c>
      <c r="H519" s="136" t="s">
        <v>1230</v>
      </c>
      <c r="I519" s="136" t="s">
        <v>46</v>
      </c>
      <c r="J519" s="7" t="s">
        <v>913</v>
      </c>
      <c r="K519" s="8">
        <f>10000*1.04</f>
        <v>10400</v>
      </c>
      <c r="L519" s="8" t="s">
        <v>913</v>
      </c>
      <c r="M519" s="8" t="s">
        <v>913</v>
      </c>
      <c r="N519" s="8" t="s">
        <v>913</v>
      </c>
      <c r="O519" s="8" t="s">
        <v>913</v>
      </c>
      <c r="P519" s="8">
        <f t="shared" si="24"/>
        <v>10400</v>
      </c>
      <c r="Q519" s="18" t="s">
        <v>946</v>
      </c>
      <c r="R519" s="9" t="s">
        <v>1211</v>
      </c>
    </row>
    <row r="520" spans="1:18" ht="135" x14ac:dyDescent="0.25">
      <c r="A520" s="136"/>
      <c r="B520" s="164"/>
      <c r="C520" s="27" t="s">
        <v>814</v>
      </c>
      <c r="D520" s="120"/>
      <c r="E520" s="120"/>
      <c r="F520" s="137"/>
      <c r="G520" s="137"/>
      <c r="H520" s="136"/>
      <c r="I520" s="136"/>
      <c r="J520" s="7" t="s">
        <v>913</v>
      </c>
      <c r="K520" s="8">
        <f>8000*1.04</f>
        <v>8320</v>
      </c>
      <c r="L520" s="8" t="s">
        <v>913</v>
      </c>
      <c r="M520" s="8" t="s">
        <v>913</v>
      </c>
      <c r="N520" s="8" t="s">
        <v>913</v>
      </c>
      <c r="O520" s="8" t="s">
        <v>913</v>
      </c>
      <c r="P520" s="8">
        <f t="shared" si="24"/>
        <v>8320</v>
      </c>
      <c r="Q520" s="18" t="s">
        <v>946</v>
      </c>
      <c r="R520" s="9" t="s">
        <v>1211</v>
      </c>
    </row>
    <row r="521" spans="1:18" ht="94.5" x14ac:dyDescent="0.25">
      <c r="A521" s="136"/>
      <c r="B521" s="164"/>
      <c r="C521" s="27" t="s">
        <v>815</v>
      </c>
      <c r="D521" s="120"/>
      <c r="E521" s="120"/>
      <c r="F521" s="137"/>
      <c r="G521" s="137"/>
      <c r="H521" s="136"/>
      <c r="I521" s="136"/>
      <c r="J521" s="7" t="s">
        <v>913</v>
      </c>
      <c r="K521" s="8" t="s">
        <v>913</v>
      </c>
      <c r="L521" s="16">
        <f>8000*1.04*1.04</f>
        <v>8652.8000000000011</v>
      </c>
      <c r="M521" s="8" t="s">
        <v>913</v>
      </c>
      <c r="N521" s="8" t="s">
        <v>913</v>
      </c>
      <c r="O521" s="8" t="s">
        <v>913</v>
      </c>
      <c r="P521" s="8">
        <f t="shared" si="24"/>
        <v>8660</v>
      </c>
      <c r="Q521" s="18" t="s">
        <v>947</v>
      </c>
      <c r="R521" s="9" t="s">
        <v>1211</v>
      </c>
    </row>
    <row r="522" spans="1:18" ht="54" x14ac:dyDescent="0.25">
      <c r="A522" s="136"/>
      <c r="B522" s="164"/>
      <c r="C522" s="27" t="s">
        <v>816</v>
      </c>
      <c r="D522" s="120"/>
      <c r="E522" s="120"/>
      <c r="F522" s="137"/>
      <c r="G522" s="137"/>
      <c r="H522" s="136"/>
      <c r="I522" s="136"/>
      <c r="J522" s="7" t="s">
        <v>913</v>
      </c>
      <c r="K522" s="8" t="s">
        <v>913</v>
      </c>
      <c r="L522" s="8" t="s">
        <v>913</v>
      </c>
      <c r="M522" s="8" t="s">
        <v>913</v>
      </c>
      <c r="N522" s="8" t="s">
        <v>913</v>
      </c>
      <c r="O522" s="8" t="s">
        <v>913</v>
      </c>
      <c r="P522" s="8">
        <f t="shared" si="24"/>
        <v>0</v>
      </c>
      <c r="Q522" s="18" t="s">
        <v>948</v>
      </c>
      <c r="R522" s="18" t="s">
        <v>948</v>
      </c>
    </row>
    <row r="523" spans="1:18" ht="162" x14ac:dyDescent="0.25">
      <c r="A523" s="136"/>
      <c r="B523" s="164"/>
      <c r="C523" s="27" t="s">
        <v>817</v>
      </c>
      <c r="D523" s="120"/>
      <c r="E523" s="120"/>
      <c r="F523" s="137"/>
      <c r="G523" s="137"/>
      <c r="H523" s="136"/>
      <c r="I523" s="136"/>
      <c r="J523" s="7" t="s">
        <v>913</v>
      </c>
      <c r="K523" s="8" t="s">
        <v>913</v>
      </c>
      <c r="L523" s="8" t="s">
        <v>913</v>
      </c>
      <c r="M523" s="8" t="s">
        <v>913</v>
      </c>
      <c r="N523" s="8" t="s">
        <v>913</v>
      </c>
      <c r="O523" s="8" t="s">
        <v>913</v>
      </c>
      <c r="P523" s="8">
        <f t="shared" si="24"/>
        <v>0</v>
      </c>
      <c r="Q523" s="18" t="s">
        <v>943</v>
      </c>
      <c r="R523" s="9" t="s">
        <v>1212</v>
      </c>
    </row>
    <row r="524" spans="1:18" ht="81" x14ac:dyDescent="0.25">
      <c r="A524" s="136"/>
      <c r="B524" s="164"/>
      <c r="C524" s="27" t="s">
        <v>818</v>
      </c>
      <c r="D524" s="120"/>
      <c r="E524" s="120"/>
      <c r="F524" s="137"/>
      <c r="G524" s="137"/>
      <c r="H524" s="136"/>
      <c r="I524" s="136"/>
      <c r="J524" s="7" t="s">
        <v>913</v>
      </c>
      <c r="K524" s="8" t="s">
        <v>913</v>
      </c>
      <c r="L524" s="8" t="s">
        <v>913</v>
      </c>
      <c r="M524" s="8" t="s">
        <v>913</v>
      </c>
      <c r="N524" s="8" t="s">
        <v>913</v>
      </c>
      <c r="O524" s="8" t="s">
        <v>913</v>
      </c>
      <c r="P524" s="8">
        <f t="shared" si="24"/>
        <v>0</v>
      </c>
      <c r="Q524" s="18" t="s">
        <v>943</v>
      </c>
      <c r="R524" s="9" t="s">
        <v>1212</v>
      </c>
    </row>
    <row r="525" spans="1:18" ht="108" x14ac:dyDescent="0.25">
      <c r="A525" s="136"/>
      <c r="B525" s="164"/>
      <c r="C525" s="30" t="s">
        <v>949</v>
      </c>
      <c r="D525" s="120"/>
      <c r="E525" s="120"/>
      <c r="F525" s="137"/>
      <c r="G525" s="137"/>
      <c r="H525" s="136"/>
      <c r="I525" s="136"/>
      <c r="J525" s="7" t="s">
        <v>913</v>
      </c>
      <c r="K525" s="8" t="s">
        <v>913</v>
      </c>
      <c r="L525" s="8" t="s">
        <v>913</v>
      </c>
      <c r="M525" s="8" t="s">
        <v>913</v>
      </c>
      <c r="N525" s="8" t="s">
        <v>913</v>
      </c>
      <c r="O525" s="8" t="s">
        <v>913</v>
      </c>
      <c r="P525" s="8">
        <f t="shared" si="24"/>
        <v>0</v>
      </c>
      <c r="Q525" s="18" t="s">
        <v>943</v>
      </c>
      <c r="R525" s="9" t="s">
        <v>1212</v>
      </c>
    </row>
    <row r="526" spans="1:18" ht="135" x14ac:dyDescent="0.25">
      <c r="A526" s="136"/>
      <c r="B526" s="164"/>
      <c r="C526" s="27" t="s">
        <v>819</v>
      </c>
      <c r="D526" s="120"/>
      <c r="E526" s="120"/>
      <c r="F526" s="137"/>
      <c r="G526" s="137"/>
      <c r="H526" s="136"/>
      <c r="I526" s="136"/>
      <c r="J526" s="7" t="s">
        <v>913</v>
      </c>
      <c r="K526" s="8" t="s">
        <v>913</v>
      </c>
      <c r="L526" s="16">
        <f>15000*1.04*1.04</f>
        <v>16224</v>
      </c>
      <c r="M526" s="8" t="s">
        <v>913</v>
      </c>
      <c r="N526" s="8" t="s">
        <v>913</v>
      </c>
      <c r="O526" s="8" t="s">
        <v>913</v>
      </c>
      <c r="P526" s="8">
        <f t="shared" si="24"/>
        <v>16230</v>
      </c>
      <c r="Q526" s="18" t="s">
        <v>952</v>
      </c>
      <c r="R526" s="9" t="s">
        <v>1211</v>
      </c>
    </row>
    <row r="527" spans="1:18" ht="67.5" x14ac:dyDescent="0.25">
      <c r="A527" s="127" t="s">
        <v>820</v>
      </c>
      <c r="B527" s="122" t="s">
        <v>1125</v>
      </c>
      <c r="C527" s="27" t="s">
        <v>516</v>
      </c>
      <c r="D527" s="118" t="s">
        <v>821</v>
      </c>
      <c r="E527" s="122" t="s">
        <v>950</v>
      </c>
      <c r="F527" s="122" t="s">
        <v>951</v>
      </c>
      <c r="G527" s="118">
        <v>0</v>
      </c>
      <c r="H527" s="118" t="s">
        <v>1233</v>
      </c>
      <c r="I527" s="118" t="s">
        <v>46</v>
      </c>
      <c r="J527" s="7" t="s">
        <v>913</v>
      </c>
      <c r="K527" s="8" t="s">
        <v>913</v>
      </c>
      <c r="L527" s="8" t="s">
        <v>913</v>
      </c>
      <c r="M527" s="8" t="s">
        <v>913</v>
      </c>
      <c r="N527" s="8" t="s">
        <v>913</v>
      </c>
      <c r="O527" s="8" t="s">
        <v>913</v>
      </c>
      <c r="P527" s="8">
        <f t="shared" si="24"/>
        <v>0</v>
      </c>
      <c r="Q527" s="18" t="s">
        <v>953</v>
      </c>
      <c r="R527" s="18" t="s">
        <v>953</v>
      </c>
    </row>
    <row r="528" spans="1:18" ht="81" x14ac:dyDescent="0.25">
      <c r="A528" s="131"/>
      <c r="B528" s="159"/>
      <c r="C528" s="27" t="s">
        <v>517</v>
      </c>
      <c r="D528" s="121"/>
      <c r="E528" s="159"/>
      <c r="F528" s="159"/>
      <c r="G528" s="121"/>
      <c r="H528" s="121"/>
      <c r="I528" s="121"/>
      <c r="J528" s="7" t="s">
        <v>913</v>
      </c>
      <c r="K528" s="8" t="s">
        <v>913</v>
      </c>
      <c r="L528" s="8" t="s">
        <v>913</v>
      </c>
      <c r="M528" s="8" t="s">
        <v>913</v>
      </c>
      <c r="N528" s="8" t="s">
        <v>913</v>
      </c>
      <c r="O528" s="8" t="s">
        <v>913</v>
      </c>
      <c r="P528" s="8">
        <f t="shared" si="24"/>
        <v>0</v>
      </c>
      <c r="Q528" s="18" t="s">
        <v>953</v>
      </c>
      <c r="R528" s="18" t="s">
        <v>953</v>
      </c>
    </row>
    <row r="529" spans="1:18" ht="54" x14ac:dyDescent="0.25">
      <c r="A529" s="131"/>
      <c r="B529" s="159"/>
      <c r="C529" s="27" t="s">
        <v>1315</v>
      </c>
      <c r="D529" s="121"/>
      <c r="E529" s="159"/>
      <c r="F529" s="159"/>
      <c r="G529" s="121"/>
      <c r="H529" s="121"/>
      <c r="I529" s="121"/>
      <c r="J529" s="7" t="s">
        <v>913</v>
      </c>
      <c r="K529" s="8" t="s">
        <v>913</v>
      </c>
      <c r="L529" s="8" t="s">
        <v>913</v>
      </c>
      <c r="M529" s="8" t="s">
        <v>913</v>
      </c>
      <c r="N529" s="8" t="s">
        <v>913</v>
      </c>
      <c r="O529" s="8" t="s">
        <v>913</v>
      </c>
      <c r="P529" s="8">
        <f t="shared" si="24"/>
        <v>0</v>
      </c>
      <c r="Q529" s="18" t="s">
        <v>953</v>
      </c>
      <c r="R529" s="18" t="s">
        <v>953</v>
      </c>
    </row>
    <row r="530" spans="1:18" ht="81" x14ac:dyDescent="0.25">
      <c r="A530" s="131"/>
      <c r="B530" s="159"/>
      <c r="C530" s="27" t="s">
        <v>545</v>
      </c>
      <c r="D530" s="121"/>
      <c r="E530" s="159"/>
      <c r="F530" s="159"/>
      <c r="G530" s="121"/>
      <c r="H530" s="121"/>
      <c r="I530" s="121"/>
      <c r="J530" s="7" t="s">
        <v>913</v>
      </c>
      <c r="K530" s="8" t="s">
        <v>913</v>
      </c>
      <c r="L530" s="8" t="s">
        <v>913</v>
      </c>
      <c r="M530" s="8" t="s">
        <v>913</v>
      </c>
      <c r="N530" s="8" t="s">
        <v>913</v>
      </c>
      <c r="O530" s="8" t="s">
        <v>913</v>
      </c>
      <c r="P530" s="8">
        <f t="shared" si="24"/>
        <v>0</v>
      </c>
      <c r="Q530" s="18" t="s">
        <v>953</v>
      </c>
      <c r="R530" s="18" t="s">
        <v>953</v>
      </c>
    </row>
    <row r="531" spans="1:18" ht="54" x14ac:dyDescent="0.25">
      <c r="A531" s="131"/>
      <c r="B531" s="159"/>
      <c r="C531" s="27" t="s">
        <v>518</v>
      </c>
      <c r="D531" s="121"/>
      <c r="E531" s="159"/>
      <c r="F531" s="159"/>
      <c r="G531" s="121"/>
      <c r="H531" s="121"/>
      <c r="I531" s="121"/>
      <c r="J531" s="7" t="s">
        <v>913</v>
      </c>
      <c r="K531" s="8" t="s">
        <v>913</v>
      </c>
      <c r="L531" s="8" t="s">
        <v>913</v>
      </c>
      <c r="M531" s="8" t="s">
        <v>913</v>
      </c>
      <c r="N531" s="8" t="s">
        <v>913</v>
      </c>
      <c r="O531" s="8" t="s">
        <v>913</v>
      </c>
      <c r="P531" s="8">
        <f t="shared" si="24"/>
        <v>0</v>
      </c>
      <c r="Q531" s="18" t="s">
        <v>953</v>
      </c>
      <c r="R531" s="18" t="s">
        <v>953</v>
      </c>
    </row>
    <row r="532" spans="1:18" ht="81" x14ac:dyDescent="0.25">
      <c r="A532" s="131"/>
      <c r="B532" s="159"/>
      <c r="C532" s="27" t="s">
        <v>519</v>
      </c>
      <c r="D532" s="121"/>
      <c r="E532" s="159"/>
      <c r="F532" s="159"/>
      <c r="G532" s="121"/>
      <c r="H532" s="121"/>
      <c r="I532" s="121"/>
      <c r="J532" s="7" t="s">
        <v>913</v>
      </c>
      <c r="K532" s="8" t="s">
        <v>913</v>
      </c>
      <c r="L532" s="16">
        <f>8000*1.04*1.04</f>
        <v>8652.8000000000011</v>
      </c>
      <c r="M532" s="8" t="s">
        <v>913</v>
      </c>
      <c r="N532" s="8" t="s">
        <v>913</v>
      </c>
      <c r="O532" s="8" t="s">
        <v>913</v>
      </c>
      <c r="P532" s="8">
        <f t="shared" si="24"/>
        <v>8660</v>
      </c>
      <c r="Q532" s="18" t="s">
        <v>954</v>
      </c>
      <c r="R532" s="9" t="s">
        <v>1211</v>
      </c>
    </row>
    <row r="533" spans="1:18" ht="67.5" x14ac:dyDescent="0.25">
      <c r="A533" s="131"/>
      <c r="B533" s="159"/>
      <c r="C533" s="27" t="s">
        <v>520</v>
      </c>
      <c r="D533" s="121"/>
      <c r="E533" s="159"/>
      <c r="F533" s="159"/>
      <c r="G533" s="121"/>
      <c r="H533" s="121"/>
      <c r="I533" s="121"/>
      <c r="J533" s="7" t="s">
        <v>913</v>
      </c>
      <c r="K533" s="8" t="s">
        <v>913</v>
      </c>
      <c r="L533" s="8" t="s">
        <v>913</v>
      </c>
      <c r="M533" s="8" t="s">
        <v>913</v>
      </c>
      <c r="N533" s="8" t="s">
        <v>913</v>
      </c>
      <c r="O533" s="8" t="s">
        <v>913</v>
      </c>
      <c r="P533" s="8">
        <f t="shared" si="24"/>
        <v>0</v>
      </c>
      <c r="Q533" s="18" t="s">
        <v>955</v>
      </c>
      <c r="R533" s="18" t="s">
        <v>955</v>
      </c>
    </row>
    <row r="534" spans="1:18" ht="54" x14ac:dyDescent="0.25">
      <c r="A534" s="128"/>
      <c r="B534" s="123"/>
      <c r="C534" s="27" t="s">
        <v>521</v>
      </c>
      <c r="D534" s="119"/>
      <c r="E534" s="123"/>
      <c r="F534" s="123"/>
      <c r="G534" s="119"/>
      <c r="H534" s="119"/>
      <c r="I534" s="119"/>
      <c r="J534" s="7" t="s">
        <v>913</v>
      </c>
      <c r="K534" s="8" t="s">
        <v>913</v>
      </c>
      <c r="L534" s="16">
        <f>8000*1.04*1.04</f>
        <v>8652.8000000000011</v>
      </c>
      <c r="M534" s="8" t="s">
        <v>913</v>
      </c>
      <c r="N534" s="8" t="s">
        <v>913</v>
      </c>
      <c r="O534" s="8" t="s">
        <v>913</v>
      </c>
      <c r="P534" s="8">
        <f t="shared" si="24"/>
        <v>8660</v>
      </c>
      <c r="Q534" s="18" t="s">
        <v>954</v>
      </c>
      <c r="R534" s="9" t="s">
        <v>1211</v>
      </c>
    </row>
    <row r="535" spans="1:18" ht="81" x14ac:dyDescent="0.25">
      <c r="A535" s="146" t="s">
        <v>822</v>
      </c>
      <c r="B535" s="148" t="s">
        <v>1124</v>
      </c>
      <c r="C535" s="27" t="s">
        <v>613</v>
      </c>
      <c r="D535" s="118" t="s">
        <v>614</v>
      </c>
      <c r="E535" s="118" t="s">
        <v>615</v>
      </c>
      <c r="F535" s="118" t="s">
        <v>616</v>
      </c>
      <c r="G535" s="118">
        <v>0</v>
      </c>
      <c r="H535" s="118" t="s">
        <v>1288</v>
      </c>
      <c r="I535" s="127" t="s">
        <v>46</v>
      </c>
      <c r="J535" s="7" t="s">
        <v>913</v>
      </c>
      <c r="K535" s="16">
        <f>10000*1.04</f>
        <v>10400</v>
      </c>
      <c r="L535" s="8" t="s">
        <v>913</v>
      </c>
      <c r="M535" s="8" t="s">
        <v>913</v>
      </c>
      <c r="N535" s="8" t="s">
        <v>913</v>
      </c>
      <c r="O535" s="8" t="s">
        <v>913</v>
      </c>
      <c r="P535" s="8">
        <f t="shared" si="24"/>
        <v>10400</v>
      </c>
      <c r="Q535" s="18" t="s">
        <v>941</v>
      </c>
      <c r="R535" s="9" t="s">
        <v>1211</v>
      </c>
    </row>
    <row r="536" spans="1:18" ht="54" x14ac:dyDescent="0.25">
      <c r="A536" s="147"/>
      <c r="B536" s="149"/>
      <c r="C536" s="27" t="s">
        <v>617</v>
      </c>
      <c r="D536" s="121"/>
      <c r="E536" s="121"/>
      <c r="F536" s="121"/>
      <c r="G536" s="121"/>
      <c r="H536" s="121"/>
      <c r="I536" s="131"/>
      <c r="J536" s="7" t="s">
        <v>913</v>
      </c>
      <c r="K536" s="16">
        <f>10000*1.04</f>
        <v>10400</v>
      </c>
      <c r="L536" s="8" t="s">
        <v>913</v>
      </c>
      <c r="M536" s="8" t="s">
        <v>913</v>
      </c>
      <c r="N536" s="8" t="s">
        <v>913</v>
      </c>
      <c r="O536" s="8" t="s">
        <v>913</v>
      </c>
      <c r="P536" s="8">
        <f t="shared" si="24"/>
        <v>10400</v>
      </c>
      <c r="Q536" s="18" t="s">
        <v>941</v>
      </c>
      <c r="R536" s="9" t="s">
        <v>1211</v>
      </c>
    </row>
    <row r="537" spans="1:18" ht="94.5" x14ac:dyDescent="0.25">
      <c r="A537" s="156"/>
      <c r="B537" s="157"/>
      <c r="C537" s="27" t="s">
        <v>618</v>
      </c>
      <c r="D537" s="119"/>
      <c r="E537" s="119"/>
      <c r="F537" s="119"/>
      <c r="G537" s="119"/>
      <c r="H537" s="119"/>
      <c r="I537" s="128"/>
      <c r="J537" s="7" t="s">
        <v>913</v>
      </c>
      <c r="K537" s="8" t="s">
        <v>913</v>
      </c>
      <c r="L537" s="8" t="s">
        <v>913</v>
      </c>
      <c r="M537" s="8" t="s">
        <v>913</v>
      </c>
      <c r="N537" s="8" t="s">
        <v>913</v>
      </c>
      <c r="O537" s="8" t="s">
        <v>913</v>
      </c>
      <c r="P537" s="8">
        <f t="shared" si="24"/>
        <v>0</v>
      </c>
      <c r="Q537" s="18" t="s">
        <v>1221</v>
      </c>
      <c r="R537" s="18" t="s">
        <v>956</v>
      </c>
    </row>
    <row r="538" spans="1:18" s="36" customFormat="1" ht="67.5" x14ac:dyDescent="0.25">
      <c r="A538" s="127" t="s">
        <v>823</v>
      </c>
      <c r="B538" s="122" t="s">
        <v>1126</v>
      </c>
      <c r="C538" s="30" t="s">
        <v>650</v>
      </c>
      <c r="D538" s="122" t="s">
        <v>824</v>
      </c>
      <c r="E538" s="122" t="s">
        <v>825</v>
      </c>
      <c r="F538" s="122" t="s">
        <v>826</v>
      </c>
      <c r="G538" s="122">
        <v>0</v>
      </c>
      <c r="H538" s="204" t="s">
        <v>1289</v>
      </c>
      <c r="I538" s="122" t="s">
        <v>46</v>
      </c>
      <c r="J538" s="7" t="s">
        <v>913</v>
      </c>
      <c r="K538" s="34">
        <f>50000*1.04</f>
        <v>52000</v>
      </c>
      <c r="L538" s="8" t="s">
        <v>913</v>
      </c>
      <c r="M538" s="8" t="s">
        <v>913</v>
      </c>
      <c r="N538" s="8" t="s">
        <v>913</v>
      </c>
      <c r="O538" s="8" t="s">
        <v>913</v>
      </c>
      <c r="P538" s="8">
        <f t="shared" si="24"/>
        <v>52000</v>
      </c>
      <c r="Q538" s="35" t="s">
        <v>957</v>
      </c>
      <c r="R538" s="9" t="s">
        <v>1211</v>
      </c>
    </row>
    <row r="539" spans="1:18" s="36" customFormat="1" ht="94.5" x14ac:dyDescent="0.25">
      <c r="A539" s="131"/>
      <c r="B539" s="159"/>
      <c r="C539" s="30" t="s">
        <v>651</v>
      </c>
      <c r="D539" s="159"/>
      <c r="E539" s="159"/>
      <c r="F539" s="159"/>
      <c r="G539" s="159"/>
      <c r="H539" s="159"/>
      <c r="I539" s="159"/>
      <c r="J539" s="7" t="s">
        <v>913</v>
      </c>
      <c r="K539" s="8" t="s">
        <v>913</v>
      </c>
      <c r="L539" s="8" t="s">
        <v>913</v>
      </c>
      <c r="M539" s="8" t="s">
        <v>913</v>
      </c>
      <c r="N539" s="8" t="s">
        <v>913</v>
      </c>
      <c r="O539" s="8" t="s">
        <v>913</v>
      </c>
      <c r="P539" s="8">
        <f t="shared" si="24"/>
        <v>0</v>
      </c>
      <c r="Q539" s="35" t="s">
        <v>958</v>
      </c>
      <c r="R539" s="35" t="s">
        <v>958</v>
      </c>
    </row>
    <row r="540" spans="1:18" s="36" customFormat="1" ht="67.5" x14ac:dyDescent="0.25">
      <c r="A540" s="131"/>
      <c r="B540" s="159"/>
      <c r="C540" s="30" t="s">
        <v>1144</v>
      </c>
      <c r="D540" s="159"/>
      <c r="E540" s="159"/>
      <c r="F540" s="159"/>
      <c r="G540" s="159"/>
      <c r="H540" s="159"/>
      <c r="I540" s="159"/>
      <c r="J540" s="7" t="s">
        <v>913</v>
      </c>
      <c r="K540" s="8" t="s">
        <v>913</v>
      </c>
      <c r="L540" s="8" t="s">
        <v>913</v>
      </c>
      <c r="M540" s="8" t="s">
        <v>913</v>
      </c>
      <c r="N540" s="8" t="s">
        <v>913</v>
      </c>
      <c r="O540" s="8" t="s">
        <v>913</v>
      </c>
      <c r="P540" s="8">
        <f t="shared" si="24"/>
        <v>0</v>
      </c>
      <c r="Q540" s="35" t="s">
        <v>958</v>
      </c>
      <c r="R540" s="35" t="s">
        <v>958</v>
      </c>
    </row>
    <row r="541" spans="1:18" s="36" customFormat="1" ht="94.5" x14ac:dyDescent="0.25">
      <c r="A541" s="131"/>
      <c r="B541" s="159"/>
      <c r="C541" s="30" t="s">
        <v>827</v>
      </c>
      <c r="D541" s="159"/>
      <c r="E541" s="159"/>
      <c r="F541" s="159"/>
      <c r="G541" s="159"/>
      <c r="H541" s="159"/>
      <c r="I541" s="159"/>
      <c r="J541" s="7" t="s">
        <v>913</v>
      </c>
      <c r="K541" s="8" t="s">
        <v>913</v>
      </c>
      <c r="L541" s="16">
        <f>3000*1.04*1.04</f>
        <v>3244.8</v>
      </c>
      <c r="M541" s="8" t="s">
        <v>913</v>
      </c>
      <c r="N541" s="8" t="s">
        <v>913</v>
      </c>
      <c r="O541" s="8" t="s">
        <v>913</v>
      </c>
      <c r="P541" s="8">
        <f t="shared" si="24"/>
        <v>3250</v>
      </c>
      <c r="Q541" s="35" t="s">
        <v>959</v>
      </c>
      <c r="R541" s="9" t="s">
        <v>1211</v>
      </c>
    </row>
    <row r="542" spans="1:18" s="36" customFormat="1" ht="40.5" x14ac:dyDescent="0.25">
      <c r="A542" s="131"/>
      <c r="B542" s="123"/>
      <c r="C542" s="30" t="s">
        <v>828</v>
      </c>
      <c r="D542" s="123"/>
      <c r="E542" s="123"/>
      <c r="F542" s="123"/>
      <c r="G542" s="123"/>
      <c r="H542" s="123"/>
      <c r="I542" s="123"/>
      <c r="J542" s="7" t="s">
        <v>913</v>
      </c>
      <c r="K542" s="8" t="s">
        <v>913</v>
      </c>
      <c r="L542" s="8" t="s">
        <v>913</v>
      </c>
      <c r="M542" s="8" t="s">
        <v>913</v>
      </c>
      <c r="N542" s="8" t="s">
        <v>913</v>
      </c>
      <c r="O542" s="8" t="s">
        <v>913</v>
      </c>
      <c r="P542" s="8">
        <f t="shared" si="24"/>
        <v>0</v>
      </c>
      <c r="Q542" s="35" t="s">
        <v>943</v>
      </c>
      <c r="R542" s="6" t="s">
        <v>1212</v>
      </c>
    </row>
    <row r="543" spans="1:18" ht="127.5" customHeight="1" x14ac:dyDescent="0.25">
      <c r="A543" s="127" t="s">
        <v>829</v>
      </c>
      <c r="B543" s="118" t="s">
        <v>1127</v>
      </c>
      <c r="C543" s="27" t="s">
        <v>830</v>
      </c>
      <c r="D543" s="118" t="s">
        <v>522</v>
      </c>
      <c r="E543" s="118" t="s">
        <v>523</v>
      </c>
      <c r="F543" s="118" t="s">
        <v>831</v>
      </c>
      <c r="G543" s="118">
        <v>0</v>
      </c>
      <c r="H543" s="118" t="s">
        <v>1279</v>
      </c>
      <c r="I543" s="120" t="s">
        <v>46</v>
      </c>
      <c r="J543" s="7" t="s">
        <v>913</v>
      </c>
      <c r="K543" s="8" t="s">
        <v>913</v>
      </c>
      <c r="L543" s="8" t="s">
        <v>913</v>
      </c>
      <c r="M543" s="8" t="s">
        <v>913</v>
      </c>
      <c r="N543" s="8" t="s">
        <v>913</v>
      </c>
      <c r="O543" s="8" t="s">
        <v>913</v>
      </c>
      <c r="P543" s="8">
        <f t="shared" si="24"/>
        <v>0</v>
      </c>
      <c r="Q543" s="35" t="s">
        <v>943</v>
      </c>
      <c r="R543" s="6" t="s">
        <v>1212</v>
      </c>
    </row>
    <row r="544" spans="1:18" ht="69" customHeight="1" x14ac:dyDescent="0.25">
      <c r="A544" s="131"/>
      <c r="B544" s="121"/>
      <c r="C544" s="122" t="s">
        <v>960</v>
      </c>
      <c r="D544" s="121"/>
      <c r="E544" s="121"/>
      <c r="F544" s="121"/>
      <c r="G544" s="121"/>
      <c r="H544" s="121"/>
      <c r="I544" s="120"/>
      <c r="J544" s="127" t="s">
        <v>913</v>
      </c>
      <c r="K544" s="127" t="s">
        <v>913</v>
      </c>
      <c r="L544" s="127" t="s">
        <v>913</v>
      </c>
      <c r="M544" s="127" t="s">
        <v>913</v>
      </c>
      <c r="N544" s="127" t="s">
        <v>913</v>
      </c>
      <c r="O544" s="127" t="s">
        <v>913</v>
      </c>
      <c r="P544" s="129">
        <v>0</v>
      </c>
      <c r="Q544" s="202" t="s">
        <v>943</v>
      </c>
      <c r="R544" s="122" t="s">
        <v>1212</v>
      </c>
    </row>
    <row r="545" spans="1:18" x14ac:dyDescent="0.25">
      <c r="A545" s="131"/>
      <c r="B545" s="119"/>
      <c r="C545" s="123"/>
      <c r="D545" s="119"/>
      <c r="E545" s="119"/>
      <c r="F545" s="119"/>
      <c r="G545" s="119"/>
      <c r="H545" s="119"/>
      <c r="I545" s="120"/>
      <c r="J545" s="128"/>
      <c r="K545" s="128"/>
      <c r="L545" s="128"/>
      <c r="M545" s="128"/>
      <c r="N545" s="128"/>
      <c r="O545" s="128"/>
      <c r="P545" s="130"/>
      <c r="Q545" s="203"/>
      <c r="R545" s="123"/>
    </row>
    <row r="546" spans="1:18" s="21" customFormat="1" x14ac:dyDescent="0.25">
      <c r="A546" s="145" t="s">
        <v>322</v>
      </c>
      <c r="B546" s="145"/>
      <c r="C546" s="145"/>
      <c r="D546" s="145"/>
      <c r="E546" s="145"/>
      <c r="F546" s="145"/>
      <c r="G546" s="145"/>
      <c r="H546" s="145"/>
      <c r="I546" s="145"/>
      <c r="J546" s="89"/>
      <c r="K546" s="89"/>
      <c r="L546" s="89"/>
      <c r="M546" s="89"/>
      <c r="N546" s="89"/>
      <c r="O546" s="89"/>
      <c r="P546" s="109">
        <f>SUM(P516:P545)</f>
        <v>159480</v>
      </c>
      <c r="Q546" s="110"/>
      <c r="R546" s="111"/>
    </row>
    <row r="547" spans="1:18" s="21" customFormat="1" ht="14.25" x14ac:dyDescent="0.25">
      <c r="A547" s="158" t="s">
        <v>832</v>
      </c>
      <c r="B547" s="158"/>
      <c r="C547" s="158"/>
      <c r="D547" s="158"/>
      <c r="E547" s="158"/>
      <c r="F547" s="158"/>
      <c r="G547" s="158"/>
      <c r="H547" s="158"/>
      <c r="I547" s="158"/>
      <c r="J547" s="158"/>
      <c r="K547" s="158"/>
      <c r="L547" s="158"/>
      <c r="M547" s="158"/>
      <c r="N547" s="158"/>
      <c r="O547" s="158"/>
      <c r="P547" s="158"/>
      <c r="Q547" s="158"/>
      <c r="R547" s="81"/>
    </row>
    <row r="548" spans="1:18" ht="108" x14ac:dyDescent="0.25">
      <c r="A548" s="106" t="s">
        <v>833</v>
      </c>
      <c r="B548" s="74" t="s">
        <v>500</v>
      </c>
      <c r="C548" s="69" t="s">
        <v>501</v>
      </c>
      <c r="D548" s="120" t="s">
        <v>665</v>
      </c>
      <c r="E548" s="107" t="s">
        <v>591</v>
      </c>
      <c r="F548" s="67" t="s">
        <v>502</v>
      </c>
      <c r="G548" s="108">
        <v>0</v>
      </c>
      <c r="H548" s="67" t="s">
        <v>1290</v>
      </c>
      <c r="I548" s="71" t="s">
        <v>46</v>
      </c>
      <c r="J548" s="71" t="s">
        <v>913</v>
      </c>
      <c r="K548" s="73" t="s">
        <v>913</v>
      </c>
      <c r="L548" s="73" t="s">
        <v>913</v>
      </c>
      <c r="M548" s="73" t="s">
        <v>913</v>
      </c>
      <c r="N548" s="73" t="s">
        <v>913</v>
      </c>
      <c r="O548" s="73" t="s">
        <v>913</v>
      </c>
      <c r="P548" s="73">
        <f t="shared" ref="P548:P555" si="25">CEILING(SUM(K548:O548),10)</f>
        <v>0</v>
      </c>
      <c r="Q548" s="97" t="s">
        <v>943</v>
      </c>
      <c r="R548" s="67" t="s">
        <v>1212</v>
      </c>
    </row>
    <row r="549" spans="1:18" ht="108" x14ac:dyDescent="0.25">
      <c r="A549" s="37" t="s">
        <v>834</v>
      </c>
      <c r="B549" s="20" t="s">
        <v>503</v>
      </c>
      <c r="C549" s="27" t="s">
        <v>501</v>
      </c>
      <c r="D549" s="120"/>
      <c r="E549" s="38" t="s">
        <v>591</v>
      </c>
      <c r="F549" s="40" t="s">
        <v>504</v>
      </c>
      <c r="G549" s="39">
        <v>0</v>
      </c>
      <c r="H549" s="7" t="s">
        <v>1234</v>
      </c>
      <c r="I549" s="7" t="s">
        <v>46</v>
      </c>
      <c r="J549" s="7" t="s">
        <v>913</v>
      </c>
      <c r="K549" s="8" t="s">
        <v>913</v>
      </c>
      <c r="L549" s="8" t="s">
        <v>913</v>
      </c>
      <c r="M549" s="8" t="s">
        <v>913</v>
      </c>
      <c r="N549" s="8" t="s">
        <v>913</v>
      </c>
      <c r="O549" s="8" t="s">
        <v>913</v>
      </c>
      <c r="P549" s="8">
        <f t="shared" si="25"/>
        <v>0</v>
      </c>
      <c r="Q549" s="18" t="s">
        <v>943</v>
      </c>
      <c r="R549" s="9" t="s">
        <v>1212</v>
      </c>
    </row>
    <row r="550" spans="1:18" ht="162" x14ac:dyDescent="0.25">
      <c r="A550" s="37" t="s">
        <v>835</v>
      </c>
      <c r="B550" s="20" t="s">
        <v>505</v>
      </c>
      <c r="C550" s="27" t="s">
        <v>961</v>
      </c>
      <c r="D550" s="120"/>
      <c r="E550" s="38" t="s">
        <v>506</v>
      </c>
      <c r="F550" s="40" t="s">
        <v>592</v>
      </c>
      <c r="G550" s="39">
        <v>0</v>
      </c>
      <c r="H550" s="9" t="s">
        <v>1290</v>
      </c>
      <c r="I550" s="7" t="s">
        <v>46</v>
      </c>
      <c r="J550" s="7" t="s">
        <v>913</v>
      </c>
      <c r="K550" s="8" t="s">
        <v>913</v>
      </c>
      <c r="L550" s="8" t="s">
        <v>913</v>
      </c>
      <c r="M550" s="8" t="s">
        <v>913</v>
      </c>
      <c r="N550" s="8" t="s">
        <v>913</v>
      </c>
      <c r="O550" s="8" t="s">
        <v>913</v>
      </c>
      <c r="P550" s="8">
        <f t="shared" si="25"/>
        <v>0</v>
      </c>
      <c r="Q550" s="18" t="s">
        <v>943</v>
      </c>
      <c r="R550" s="9" t="s">
        <v>1212</v>
      </c>
    </row>
    <row r="551" spans="1:18" ht="81" x14ac:dyDescent="0.25">
      <c r="A551" s="127" t="s">
        <v>836</v>
      </c>
      <c r="B551" s="148" t="s">
        <v>837</v>
      </c>
      <c r="C551" s="27" t="s">
        <v>482</v>
      </c>
      <c r="D551" s="118" t="s">
        <v>483</v>
      </c>
      <c r="E551" s="118" t="s">
        <v>838</v>
      </c>
      <c r="F551" s="118" t="s">
        <v>593</v>
      </c>
      <c r="G551" s="150">
        <v>0.1</v>
      </c>
      <c r="H551" s="118" t="s">
        <v>1248</v>
      </c>
      <c r="I551" s="118" t="s">
        <v>46</v>
      </c>
      <c r="J551" s="7" t="s">
        <v>913</v>
      </c>
      <c r="K551" s="16">
        <f>40000*1.04</f>
        <v>41600</v>
      </c>
      <c r="L551" s="16">
        <f>+K551*1.04</f>
        <v>43264</v>
      </c>
      <c r="M551" s="8" t="s">
        <v>913</v>
      </c>
      <c r="N551" s="8" t="s">
        <v>913</v>
      </c>
      <c r="O551" s="8" t="s">
        <v>913</v>
      </c>
      <c r="P551" s="8">
        <f t="shared" si="25"/>
        <v>84870</v>
      </c>
      <c r="Q551" s="18" t="s">
        <v>944</v>
      </c>
      <c r="R551" s="9" t="s">
        <v>1212</v>
      </c>
    </row>
    <row r="552" spans="1:18" ht="108" x14ac:dyDescent="0.25">
      <c r="A552" s="131"/>
      <c r="B552" s="149"/>
      <c r="C552" s="27" t="s">
        <v>839</v>
      </c>
      <c r="D552" s="121"/>
      <c r="E552" s="121"/>
      <c r="F552" s="121"/>
      <c r="G552" s="121"/>
      <c r="H552" s="121"/>
      <c r="I552" s="121"/>
      <c r="J552" s="7" t="s">
        <v>913</v>
      </c>
      <c r="K552" s="8" t="s">
        <v>913</v>
      </c>
      <c r="L552" s="8" t="s">
        <v>913</v>
      </c>
      <c r="M552" s="8" t="s">
        <v>913</v>
      </c>
      <c r="N552" s="8" t="s">
        <v>913</v>
      </c>
      <c r="O552" s="8" t="s">
        <v>913</v>
      </c>
      <c r="P552" s="8">
        <f t="shared" si="25"/>
        <v>0</v>
      </c>
      <c r="Q552" s="18" t="s">
        <v>962</v>
      </c>
      <c r="R552" s="18" t="s">
        <v>962</v>
      </c>
    </row>
    <row r="553" spans="1:18" ht="54" x14ac:dyDescent="0.25">
      <c r="A553" s="131"/>
      <c r="B553" s="149"/>
      <c r="C553" s="27" t="s">
        <v>840</v>
      </c>
      <c r="D553" s="121"/>
      <c r="E553" s="121"/>
      <c r="F553" s="121"/>
      <c r="G553" s="121"/>
      <c r="H553" s="121"/>
      <c r="I553" s="121"/>
      <c r="J553" s="7" t="s">
        <v>913</v>
      </c>
      <c r="K553" s="8" t="s">
        <v>913</v>
      </c>
      <c r="L553" s="16">
        <f>30000*1.04*1.04</f>
        <v>32448</v>
      </c>
      <c r="M553" s="8" t="s">
        <v>913</v>
      </c>
      <c r="N553" s="8" t="s">
        <v>913</v>
      </c>
      <c r="O553" s="8" t="s">
        <v>913</v>
      </c>
      <c r="P553" s="8">
        <f t="shared" si="25"/>
        <v>32450</v>
      </c>
      <c r="Q553" s="18" t="s">
        <v>944</v>
      </c>
      <c r="R553" s="9" t="s">
        <v>1211</v>
      </c>
    </row>
    <row r="554" spans="1:18" ht="54" x14ac:dyDescent="0.25">
      <c r="A554" s="131"/>
      <c r="B554" s="149"/>
      <c r="C554" s="27" t="s">
        <v>841</v>
      </c>
      <c r="D554" s="121"/>
      <c r="E554" s="121"/>
      <c r="F554" s="121"/>
      <c r="G554" s="121"/>
      <c r="H554" s="121"/>
      <c r="I554" s="121"/>
      <c r="J554" s="7" t="s">
        <v>913</v>
      </c>
      <c r="K554" s="8" t="s">
        <v>913</v>
      </c>
      <c r="L554" s="16">
        <f>10000*1.04*1.04</f>
        <v>10816</v>
      </c>
      <c r="M554" s="16">
        <f>+L554*1.04</f>
        <v>11248.640000000001</v>
      </c>
      <c r="N554" s="16">
        <f>+M554*1.04</f>
        <v>11698.585600000002</v>
      </c>
      <c r="O554" s="16">
        <f>+N554*1.04</f>
        <v>12166.529024000003</v>
      </c>
      <c r="P554" s="8">
        <f t="shared" si="25"/>
        <v>45930</v>
      </c>
      <c r="Q554" s="18" t="s">
        <v>963</v>
      </c>
      <c r="R554" s="9" t="s">
        <v>1211</v>
      </c>
    </row>
    <row r="555" spans="1:18" ht="135" x14ac:dyDescent="0.25">
      <c r="A555" s="128"/>
      <c r="B555" s="157"/>
      <c r="C555" s="27" t="s">
        <v>666</v>
      </c>
      <c r="D555" s="119"/>
      <c r="E555" s="119"/>
      <c r="F555" s="119"/>
      <c r="G555" s="119"/>
      <c r="H555" s="119"/>
      <c r="I555" s="119"/>
      <c r="J555" s="7" t="s">
        <v>913</v>
      </c>
      <c r="K555" s="8" t="s">
        <v>913</v>
      </c>
      <c r="L555" s="8" t="s">
        <v>913</v>
      </c>
      <c r="M555" s="8" t="s">
        <v>913</v>
      </c>
      <c r="N555" s="8" t="s">
        <v>913</v>
      </c>
      <c r="O555" s="8" t="s">
        <v>913</v>
      </c>
      <c r="P555" s="8">
        <f t="shared" si="25"/>
        <v>0</v>
      </c>
      <c r="Q555" s="18" t="s">
        <v>943</v>
      </c>
      <c r="R555" s="9" t="s">
        <v>1212</v>
      </c>
    </row>
    <row r="556" spans="1:18" x14ac:dyDescent="0.25">
      <c r="A556" s="142" t="s">
        <v>306</v>
      </c>
      <c r="B556" s="143"/>
      <c r="C556" s="143"/>
      <c r="D556" s="143"/>
      <c r="E556" s="143"/>
      <c r="F556" s="143"/>
      <c r="G556" s="143"/>
      <c r="H556" s="143"/>
      <c r="I556" s="144"/>
      <c r="J556" s="79"/>
      <c r="K556" s="98"/>
      <c r="L556" s="98"/>
      <c r="M556" s="98"/>
      <c r="N556" s="98"/>
      <c r="O556" s="98"/>
      <c r="P556" s="98">
        <f>SUM(P548:P555)</f>
        <v>163250</v>
      </c>
      <c r="Q556" s="99"/>
      <c r="R556" s="112"/>
    </row>
    <row r="557" spans="1:18" ht="14.25" x14ac:dyDescent="0.25">
      <c r="A557" s="152" t="s">
        <v>842</v>
      </c>
      <c r="B557" s="153"/>
      <c r="C557" s="153"/>
      <c r="D557" s="153"/>
      <c r="E557" s="153"/>
      <c r="F557" s="153"/>
      <c r="G557" s="153"/>
      <c r="H557" s="153"/>
      <c r="I557" s="154"/>
      <c r="J557" s="155"/>
      <c r="K557" s="155"/>
      <c r="L557" s="155"/>
      <c r="M557" s="155"/>
      <c r="N557" s="155"/>
      <c r="O557" s="155"/>
      <c r="P557" s="155"/>
      <c r="Q557" s="155"/>
      <c r="R557" s="88"/>
    </row>
    <row r="558" spans="1:18" ht="67.5" x14ac:dyDescent="0.25">
      <c r="A558" s="146" t="s">
        <v>1071</v>
      </c>
      <c r="B558" s="148" t="s">
        <v>1316</v>
      </c>
      <c r="C558" s="27" t="s">
        <v>1145</v>
      </c>
      <c r="D558" s="118" t="s">
        <v>1146</v>
      </c>
      <c r="E558" s="118" t="s">
        <v>1147</v>
      </c>
      <c r="F558" s="118" t="s">
        <v>1148</v>
      </c>
      <c r="G558" s="118">
        <v>0</v>
      </c>
      <c r="H558" s="118" t="s">
        <v>1187</v>
      </c>
      <c r="I558" s="136" t="s">
        <v>46</v>
      </c>
      <c r="J558" s="7" t="s">
        <v>913</v>
      </c>
      <c r="K558" s="7" t="s">
        <v>913</v>
      </c>
      <c r="L558" s="8" t="s">
        <v>913</v>
      </c>
      <c r="M558" s="8" t="s">
        <v>913</v>
      </c>
      <c r="N558" s="8" t="s">
        <v>913</v>
      </c>
      <c r="O558" s="8" t="s">
        <v>913</v>
      </c>
      <c r="P558" s="8">
        <f t="shared" ref="P558:P579" si="26">CEILING(SUM(K558:O558),10)</f>
        <v>0</v>
      </c>
      <c r="Q558" s="18" t="s">
        <v>1149</v>
      </c>
      <c r="R558" s="9" t="s">
        <v>1212</v>
      </c>
    </row>
    <row r="559" spans="1:18" ht="81" x14ac:dyDescent="0.25">
      <c r="A559" s="147"/>
      <c r="B559" s="149"/>
      <c r="C559" s="27" t="s">
        <v>1317</v>
      </c>
      <c r="D559" s="121"/>
      <c r="E559" s="121"/>
      <c r="F559" s="121"/>
      <c r="G559" s="121"/>
      <c r="H559" s="121"/>
      <c r="I559" s="136"/>
      <c r="J559" s="7" t="s">
        <v>913</v>
      </c>
      <c r="K559" s="16">
        <f>45000*1.04</f>
        <v>46800</v>
      </c>
      <c r="L559" s="8" t="s">
        <v>913</v>
      </c>
      <c r="M559" s="8" t="s">
        <v>913</v>
      </c>
      <c r="N559" s="8" t="s">
        <v>913</v>
      </c>
      <c r="O559" s="8" t="s">
        <v>913</v>
      </c>
      <c r="P559" s="8">
        <f>CEILING(SUM(K559:O559),10)</f>
        <v>46800</v>
      </c>
      <c r="Q559" s="18" t="s">
        <v>944</v>
      </c>
      <c r="R559" s="9" t="s">
        <v>1211</v>
      </c>
    </row>
    <row r="560" spans="1:18" ht="67.5" x14ac:dyDescent="0.25">
      <c r="A560" s="156"/>
      <c r="B560" s="157"/>
      <c r="C560" s="27" t="s">
        <v>1150</v>
      </c>
      <c r="D560" s="119"/>
      <c r="E560" s="119"/>
      <c r="F560" s="119"/>
      <c r="G560" s="119"/>
      <c r="H560" s="119"/>
      <c r="I560" s="136"/>
      <c r="J560" s="7" t="s">
        <v>913</v>
      </c>
      <c r="K560" s="8">
        <v>10000</v>
      </c>
      <c r="L560" s="8" t="s">
        <v>913</v>
      </c>
      <c r="M560" s="8" t="s">
        <v>913</v>
      </c>
      <c r="N560" s="8" t="s">
        <v>913</v>
      </c>
      <c r="O560" s="8" t="s">
        <v>913</v>
      </c>
      <c r="P560" s="8">
        <f t="shared" si="26"/>
        <v>10000</v>
      </c>
      <c r="Q560" s="18" t="s">
        <v>944</v>
      </c>
      <c r="R560" s="9" t="s">
        <v>1211</v>
      </c>
    </row>
    <row r="561" spans="1:18" ht="81" x14ac:dyDescent="0.25">
      <c r="A561" s="146" t="s">
        <v>1072</v>
      </c>
      <c r="B561" s="148" t="s">
        <v>1151</v>
      </c>
      <c r="C561" s="27" t="s">
        <v>843</v>
      </c>
      <c r="D561" s="118" t="s">
        <v>1318</v>
      </c>
      <c r="E561" s="118" t="s">
        <v>605</v>
      </c>
      <c r="F561" s="118" t="s">
        <v>844</v>
      </c>
      <c r="G561" s="118">
        <v>0</v>
      </c>
      <c r="H561" s="118" t="s">
        <v>1280</v>
      </c>
      <c r="I561" s="127" t="s">
        <v>46</v>
      </c>
      <c r="J561" s="7" t="s">
        <v>913</v>
      </c>
      <c r="K561" s="8" t="s">
        <v>913</v>
      </c>
      <c r="L561" s="8" t="s">
        <v>913</v>
      </c>
      <c r="M561" s="8" t="s">
        <v>913</v>
      </c>
      <c r="N561" s="8" t="s">
        <v>913</v>
      </c>
      <c r="O561" s="8" t="s">
        <v>913</v>
      </c>
      <c r="P561" s="8">
        <f t="shared" si="26"/>
        <v>0</v>
      </c>
      <c r="Q561" s="18" t="s">
        <v>964</v>
      </c>
      <c r="R561" s="18" t="s">
        <v>964</v>
      </c>
    </row>
    <row r="562" spans="1:18" ht="135" x14ac:dyDescent="0.25">
      <c r="A562" s="147"/>
      <c r="B562" s="149"/>
      <c r="C562" s="27" t="s">
        <v>1152</v>
      </c>
      <c r="D562" s="121"/>
      <c r="E562" s="121"/>
      <c r="F562" s="121"/>
      <c r="G562" s="121"/>
      <c r="H562" s="121"/>
      <c r="I562" s="131"/>
      <c r="J562" s="7" t="s">
        <v>913</v>
      </c>
      <c r="K562" s="8" t="s">
        <v>913</v>
      </c>
      <c r="L562" s="8" t="s">
        <v>913</v>
      </c>
      <c r="M562" s="8" t="s">
        <v>913</v>
      </c>
      <c r="N562" s="8" t="s">
        <v>913</v>
      </c>
      <c r="O562" s="8" t="s">
        <v>913</v>
      </c>
      <c r="P562" s="8">
        <f t="shared" si="26"/>
        <v>0</v>
      </c>
      <c r="Q562" s="18" t="s">
        <v>964</v>
      </c>
      <c r="R562" s="18" t="s">
        <v>964</v>
      </c>
    </row>
    <row r="563" spans="1:18" ht="148.5" x14ac:dyDescent="0.25">
      <c r="A563" s="156"/>
      <c r="B563" s="157"/>
      <c r="C563" s="27" t="s">
        <v>1319</v>
      </c>
      <c r="D563" s="119"/>
      <c r="E563" s="119"/>
      <c r="F563" s="119"/>
      <c r="G563" s="119"/>
      <c r="H563" s="119"/>
      <c r="I563" s="128"/>
      <c r="J563" s="7" t="s">
        <v>913</v>
      </c>
      <c r="K563" s="8">
        <v>10000</v>
      </c>
      <c r="L563" s="8" t="s">
        <v>913</v>
      </c>
      <c r="M563" s="8" t="s">
        <v>913</v>
      </c>
      <c r="N563" s="8" t="s">
        <v>913</v>
      </c>
      <c r="O563" s="8" t="s">
        <v>913</v>
      </c>
      <c r="P563" s="8">
        <f t="shared" si="26"/>
        <v>10000</v>
      </c>
      <c r="Q563" s="18" t="s">
        <v>964</v>
      </c>
      <c r="R563" s="18" t="s">
        <v>964</v>
      </c>
    </row>
    <row r="564" spans="1:18" ht="78" customHeight="1" x14ac:dyDescent="0.25">
      <c r="A564" s="146" t="s">
        <v>1073</v>
      </c>
      <c r="B564" s="148" t="s">
        <v>1320</v>
      </c>
      <c r="C564" s="27" t="s">
        <v>1153</v>
      </c>
      <c r="D564" s="118" t="s">
        <v>1154</v>
      </c>
      <c r="E564" s="122" t="s">
        <v>1155</v>
      </c>
      <c r="F564" s="122" t="s">
        <v>965</v>
      </c>
      <c r="G564" s="118">
        <v>0</v>
      </c>
      <c r="H564" s="118" t="s">
        <v>1187</v>
      </c>
      <c r="I564" s="127" t="s">
        <v>46</v>
      </c>
      <c r="J564" s="7" t="s">
        <v>913</v>
      </c>
      <c r="K564" s="16">
        <v>2000</v>
      </c>
      <c r="L564" s="8" t="s">
        <v>913</v>
      </c>
      <c r="M564" s="8" t="s">
        <v>913</v>
      </c>
      <c r="N564" s="8" t="s">
        <v>913</v>
      </c>
      <c r="O564" s="8" t="s">
        <v>913</v>
      </c>
      <c r="P564" s="8">
        <f t="shared" si="26"/>
        <v>2000</v>
      </c>
      <c r="Q564" s="18" t="s">
        <v>969</v>
      </c>
      <c r="R564" s="9" t="s">
        <v>1211</v>
      </c>
    </row>
    <row r="565" spans="1:18" ht="98.25" customHeight="1" x14ac:dyDescent="0.25">
      <c r="A565" s="147"/>
      <c r="B565" s="149"/>
      <c r="C565" s="27" t="s">
        <v>1156</v>
      </c>
      <c r="D565" s="121"/>
      <c r="E565" s="121"/>
      <c r="F565" s="121"/>
      <c r="G565" s="121"/>
      <c r="H565" s="121"/>
      <c r="I565" s="131"/>
      <c r="J565" s="7" t="s">
        <v>913</v>
      </c>
      <c r="K565" s="16">
        <v>2000</v>
      </c>
      <c r="L565" s="8" t="s">
        <v>913</v>
      </c>
      <c r="M565" s="8" t="s">
        <v>913</v>
      </c>
      <c r="N565" s="8" t="s">
        <v>913</v>
      </c>
      <c r="O565" s="8" t="s">
        <v>913</v>
      </c>
      <c r="P565" s="8">
        <f t="shared" si="26"/>
        <v>2000</v>
      </c>
      <c r="Q565" s="18" t="s">
        <v>969</v>
      </c>
      <c r="R565" s="9" t="s">
        <v>1211</v>
      </c>
    </row>
    <row r="566" spans="1:18" ht="108" x14ac:dyDescent="0.25">
      <c r="A566" s="147"/>
      <c r="B566" s="149"/>
      <c r="C566" s="27" t="s">
        <v>1157</v>
      </c>
      <c r="D566" s="121"/>
      <c r="E566" s="121"/>
      <c r="F566" s="121"/>
      <c r="G566" s="121"/>
      <c r="H566" s="121"/>
      <c r="I566" s="131"/>
      <c r="J566" s="7" t="s">
        <v>913</v>
      </c>
      <c r="K566" s="8">
        <v>4000</v>
      </c>
      <c r="L566" s="8" t="s">
        <v>913</v>
      </c>
      <c r="M566" s="8" t="s">
        <v>913</v>
      </c>
      <c r="N566" s="8" t="s">
        <v>913</v>
      </c>
      <c r="O566" s="8" t="s">
        <v>913</v>
      </c>
      <c r="P566" s="8">
        <f t="shared" si="26"/>
        <v>4000</v>
      </c>
      <c r="Q566" s="18" t="s">
        <v>969</v>
      </c>
      <c r="R566" s="9" t="s">
        <v>1211</v>
      </c>
    </row>
    <row r="567" spans="1:18" ht="81" x14ac:dyDescent="0.25">
      <c r="A567" s="156"/>
      <c r="B567" s="157"/>
      <c r="C567" s="27" t="s">
        <v>1158</v>
      </c>
      <c r="D567" s="119"/>
      <c r="E567" s="119"/>
      <c r="F567" s="119"/>
      <c r="G567" s="119"/>
      <c r="H567" s="119"/>
      <c r="I567" s="128"/>
      <c r="J567" s="7" t="s">
        <v>913</v>
      </c>
      <c r="K567" s="8">
        <v>4000</v>
      </c>
      <c r="L567" s="8" t="s">
        <v>913</v>
      </c>
      <c r="M567" s="8" t="s">
        <v>913</v>
      </c>
      <c r="N567" s="8" t="s">
        <v>913</v>
      </c>
      <c r="O567" s="8" t="s">
        <v>913</v>
      </c>
      <c r="P567" s="8">
        <f t="shared" si="26"/>
        <v>4000</v>
      </c>
      <c r="Q567" s="18" t="s">
        <v>969</v>
      </c>
      <c r="R567" s="9" t="s">
        <v>1211</v>
      </c>
    </row>
    <row r="568" spans="1:18" ht="54" x14ac:dyDescent="0.25">
      <c r="A568" s="146" t="s">
        <v>1074</v>
      </c>
      <c r="B568" s="148" t="s">
        <v>1159</v>
      </c>
      <c r="C568" s="27" t="s">
        <v>606</v>
      </c>
      <c r="D568" s="118" t="s">
        <v>1160</v>
      </c>
      <c r="E568" s="118" t="s">
        <v>607</v>
      </c>
      <c r="F568" s="118" t="s">
        <v>1161</v>
      </c>
      <c r="G568" s="118">
        <v>0</v>
      </c>
      <c r="H568" s="118" t="s">
        <v>1281</v>
      </c>
      <c r="I568" s="136" t="s">
        <v>46</v>
      </c>
      <c r="J568" s="7" t="s">
        <v>913</v>
      </c>
      <c r="K568" s="8" t="s">
        <v>913</v>
      </c>
      <c r="L568" s="16">
        <v>9000</v>
      </c>
      <c r="M568" s="8" t="s">
        <v>913</v>
      </c>
      <c r="N568" s="8" t="s">
        <v>913</v>
      </c>
      <c r="O568" s="8" t="s">
        <v>913</v>
      </c>
      <c r="P568" s="8">
        <f t="shared" si="26"/>
        <v>9000</v>
      </c>
      <c r="Q568" s="18" t="s">
        <v>944</v>
      </c>
      <c r="R568" s="9" t="s">
        <v>1211</v>
      </c>
    </row>
    <row r="569" spans="1:18" ht="108" x14ac:dyDescent="0.25">
      <c r="A569" s="147"/>
      <c r="B569" s="149"/>
      <c r="C569" s="27" t="s">
        <v>608</v>
      </c>
      <c r="D569" s="121"/>
      <c r="E569" s="121"/>
      <c r="F569" s="121"/>
      <c r="G569" s="121"/>
      <c r="H569" s="121"/>
      <c r="I569" s="136"/>
      <c r="J569" s="7" t="s">
        <v>913</v>
      </c>
      <c r="K569" s="8" t="s">
        <v>913</v>
      </c>
      <c r="L569" s="8" t="s">
        <v>913</v>
      </c>
      <c r="M569" s="8" t="s">
        <v>913</v>
      </c>
      <c r="N569" s="8" t="s">
        <v>913</v>
      </c>
      <c r="O569" s="8" t="s">
        <v>913</v>
      </c>
      <c r="P569" s="8">
        <f t="shared" si="26"/>
        <v>0</v>
      </c>
      <c r="Q569" s="18" t="s">
        <v>943</v>
      </c>
      <c r="R569" s="9" t="s">
        <v>1212</v>
      </c>
    </row>
    <row r="570" spans="1:18" ht="54" x14ac:dyDescent="0.25">
      <c r="A570" s="156"/>
      <c r="B570" s="157"/>
      <c r="C570" s="27" t="s">
        <v>609</v>
      </c>
      <c r="D570" s="119"/>
      <c r="E570" s="119"/>
      <c r="F570" s="119"/>
      <c r="G570" s="119"/>
      <c r="H570" s="119"/>
      <c r="I570" s="136"/>
      <c r="J570" s="7" t="s">
        <v>913</v>
      </c>
      <c r="K570" s="8" t="s">
        <v>913</v>
      </c>
      <c r="L570" s="16">
        <v>3000</v>
      </c>
      <c r="M570" s="16">
        <f>+L570*1.04</f>
        <v>3120</v>
      </c>
      <c r="N570" s="16">
        <f>+M570*1.04</f>
        <v>3244.8</v>
      </c>
      <c r="O570" s="16">
        <f>+N570*1.04</f>
        <v>3374.5920000000001</v>
      </c>
      <c r="P570" s="8">
        <f t="shared" si="26"/>
        <v>12740</v>
      </c>
      <c r="Q570" s="18" t="s">
        <v>966</v>
      </c>
      <c r="R570" s="9" t="s">
        <v>1211</v>
      </c>
    </row>
    <row r="571" spans="1:18" ht="121.5" x14ac:dyDescent="0.25">
      <c r="A571" s="146" t="s">
        <v>845</v>
      </c>
      <c r="B571" s="148" t="s">
        <v>1162</v>
      </c>
      <c r="C571" s="27" t="s">
        <v>1163</v>
      </c>
      <c r="D571" s="118" t="s">
        <v>610</v>
      </c>
      <c r="E571" s="118" t="s">
        <v>611</v>
      </c>
      <c r="F571" s="118" t="s">
        <v>846</v>
      </c>
      <c r="G571" s="118">
        <v>0</v>
      </c>
      <c r="H571" s="118" t="s">
        <v>1282</v>
      </c>
      <c r="I571" s="131" t="s">
        <v>46</v>
      </c>
      <c r="J571" s="7" t="s">
        <v>913</v>
      </c>
      <c r="K571" s="8" t="s">
        <v>913</v>
      </c>
      <c r="L571" s="8" t="s">
        <v>913</v>
      </c>
      <c r="M571" s="8" t="s">
        <v>913</v>
      </c>
      <c r="N571" s="8" t="s">
        <v>913</v>
      </c>
      <c r="O571" s="8" t="s">
        <v>913</v>
      </c>
      <c r="P571" s="8">
        <f t="shared" si="26"/>
        <v>0</v>
      </c>
      <c r="Q571" s="18" t="s">
        <v>967</v>
      </c>
      <c r="R571" s="18" t="s">
        <v>967</v>
      </c>
    </row>
    <row r="572" spans="1:18" ht="67.5" x14ac:dyDescent="0.25">
      <c r="A572" s="147"/>
      <c r="B572" s="149"/>
      <c r="C572" s="27" t="s">
        <v>1164</v>
      </c>
      <c r="D572" s="121"/>
      <c r="E572" s="121"/>
      <c r="F572" s="121"/>
      <c r="G572" s="121"/>
      <c r="H572" s="121"/>
      <c r="I572" s="128"/>
      <c r="J572" s="7" t="s">
        <v>913</v>
      </c>
      <c r="K572" s="8" t="s">
        <v>913</v>
      </c>
      <c r="L572" s="8" t="s">
        <v>913</v>
      </c>
      <c r="M572" s="8" t="s">
        <v>913</v>
      </c>
      <c r="N572" s="8" t="s">
        <v>913</v>
      </c>
      <c r="O572" s="8" t="s">
        <v>913</v>
      </c>
      <c r="P572" s="8">
        <f t="shared" si="26"/>
        <v>0</v>
      </c>
      <c r="Q572" s="18" t="s">
        <v>943</v>
      </c>
      <c r="R572" s="9" t="s">
        <v>1212</v>
      </c>
    </row>
    <row r="573" spans="1:18" ht="67.5" x14ac:dyDescent="0.25">
      <c r="A573" s="146" t="s">
        <v>847</v>
      </c>
      <c r="B573" s="148" t="s">
        <v>1165</v>
      </c>
      <c r="C573" s="27" t="s">
        <v>1166</v>
      </c>
      <c r="D573" s="118" t="s">
        <v>1167</v>
      </c>
      <c r="E573" s="118" t="s">
        <v>1168</v>
      </c>
      <c r="F573" s="118" t="s">
        <v>612</v>
      </c>
      <c r="G573" s="118">
        <v>0</v>
      </c>
      <c r="H573" s="118" t="s">
        <v>1237</v>
      </c>
      <c r="I573" s="127" t="s">
        <v>46</v>
      </c>
      <c r="J573" s="7" t="s">
        <v>913</v>
      </c>
      <c r="K573" s="8" t="s">
        <v>913</v>
      </c>
      <c r="L573" s="8" t="s">
        <v>913</v>
      </c>
      <c r="M573" s="8" t="s">
        <v>913</v>
      </c>
      <c r="N573" s="8" t="s">
        <v>913</v>
      </c>
      <c r="O573" s="8" t="s">
        <v>913</v>
      </c>
      <c r="P573" s="8">
        <f t="shared" si="26"/>
        <v>0</v>
      </c>
      <c r="Q573" s="18" t="s">
        <v>968</v>
      </c>
      <c r="R573" s="9" t="s">
        <v>1212</v>
      </c>
    </row>
    <row r="574" spans="1:18" ht="54" x14ac:dyDescent="0.25">
      <c r="A574" s="147"/>
      <c r="B574" s="149"/>
      <c r="C574" s="27" t="s">
        <v>1169</v>
      </c>
      <c r="D574" s="121"/>
      <c r="E574" s="121"/>
      <c r="F574" s="121"/>
      <c r="G574" s="121"/>
      <c r="H574" s="121"/>
      <c r="I574" s="131"/>
      <c r="J574" s="7" t="s">
        <v>913</v>
      </c>
      <c r="K574" s="8" t="s">
        <v>913</v>
      </c>
      <c r="L574" s="16">
        <v>120000</v>
      </c>
      <c r="M574" s="8" t="s">
        <v>913</v>
      </c>
      <c r="N574" s="8" t="s">
        <v>913</v>
      </c>
      <c r="O574" s="8" t="s">
        <v>913</v>
      </c>
      <c r="P574" s="8">
        <f t="shared" si="26"/>
        <v>120000</v>
      </c>
      <c r="Q574" s="18" t="s">
        <v>969</v>
      </c>
      <c r="R574" s="9" t="s">
        <v>1211</v>
      </c>
    </row>
    <row r="575" spans="1:18" ht="121.5" x14ac:dyDescent="0.25">
      <c r="A575" s="147"/>
      <c r="B575" s="149"/>
      <c r="C575" s="27" t="s">
        <v>1170</v>
      </c>
      <c r="D575" s="121"/>
      <c r="E575" s="121"/>
      <c r="F575" s="121"/>
      <c r="G575" s="121"/>
      <c r="H575" s="121"/>
      <c r="I575" s="131"/>
      <c r="J575" s="7" t="s">
        <v>913</v>
      </c>
      <c r="K575" s="8" t="s">
        <v>913</v>
      </c>
      <c r="L575" s="16">
        <v>5000</v>
      </c>
      <c r="M575" s="8" t="s">
        <v>913</v>
      </c>
      <c r="N575" s="8" t="s">
        <v>913</v>
      </c>
      <c r="O575" s="8" t="s">
        <v>913</v>
      </c>
      <c r="P575" s="8">
        <f t="shared" si="26"/>
        <v>5000</v>
      </c>
      <c r="Q575" s="18" t="s">
        <v>969</v>
      </c>
      <c r="R575" s="9" t="s">
        <v>1211</v>
      </c>
    </row>
    <row r="576" spans="1:18" ht="63" customHeight="1" x14ac:dyDescent="0.25">
      <c r="A576" s="147"/>
      <c r="B576" s="149"/>
      <c r="C576" s="27" t="s">
        <v>1171</v>
      </c>
      <c r="D576" s="121"/>
      <c r="E576" s="121"/>
      <c r="F576" s="121"/>
      <c r="G576" s="121"/>
      <c r="H576" s="121"/>
      <c r="I576" s="131"/>
      <c r="J576" s="7" t="s">
        <v>913</v>
      </c>
      <c r="K576" s="8" t="s">
        <v>913</v>
      </c>
      <c r="L576" s="16">
        <v>2000</v>
      </c>
      <c r="M576" s="8" t="s">
        <v>913</v>
      </c>
      <c r="N576" s="8" t="s">
        <v>913</v>
      </c>
      <c r="O576" s="8" t="s">
        <v>913</v>
      </c>
      <c r="P576" s="8">
        <f t="shared" si="26"/>
        <v>2000</v>
      </c>
      <c r="Q576" s="18" t="s">
        <v>969</v>
      </c>
      <c r="R576" s="9" t="s">
        <v>1211</v>
      </c>
    </row>
    <row r="577" spans="1:18" ht="54" x14ac:dyDescent="0.25">
      <c r="A577" s="146" t="s">
        <v>1075</v>
      </c>
      <c r="B577" s="148" t="s">
        <v>1321</v>
      </c>
      <c r="C577" s="27" t="s">
        <v>1172</v>
      </c>
      <c r="D577" s="122" t="s">
        <v>1173</v>
      </c>
      <c r="E577" s="118" t="s">
        <v>1174</v>
      </c>
      <c r="F577" s="118" t="s">
        <v>1175</v>
      </c>
      <c r="G577" s="118"/>
      <c r="H577" s="118" t="s">
        <v>1283</v>
      </c>
      <c r="I577" s="127" t="s">
        <v>46</v>
      </c>
      <c r="J577" s="7" t="s">
        <v>913</v>
      </c>
      <c r="K577" s="8" t="s">
        <v>913</v>
      </c>
      <c r="L577" s="8" t="s">
        <v>913</v>
      </c>
      <c r="M577" s="8" t="s">
        <v>913</v>
      </c>
      <c r="N577" s="8" t="s">
        <v>913</v>
      </c>
      <c r="O577" s="8" t="s">
        <v>913</v>
      </c>
      <c r="P577" s="8">
        <f t="shared" si="26"/>
        <v>0</v>
      </c>
      <c r="Q577" s="18" t="s">
        <v>943</v>
      </c>
      <c r="R577" s="9" t="s">
        <v>1212</v>
      </c>
    </row>
    <row r="578" spans="1:18" ht="67.5" x14ac:dyDescent="0.25">
      <c r="A578" s="147"/>
      <c r="B578" s="149"/>
      <c r="C578" s="27" t="s">
        <v>1176</v>
      </c>
      <c r="D578" s="159"/>
      <c r="E578" s="121"/>
      <c r="F578" s="121"/>
      <c r="G578" s="121"/>
      <c r="H578" s="121"/>
      <c r="I578" s="131"/>
      <c r="J578" s="7" t="s">
        <v>913</v>
      </c>
      <c r="K578" s="8" t="s">
        <v>913</v>
      </c>
      <c r="L578" s="16">
        <v>3000</v>
      </c>
      <c r="M578" s="8" t="s">
        <v>913</v>
      </c>
      <c r="N578" s="8" t="s">
        <v>913</v>
      </c>
      <c r="O578" s="8" t="s">
        <v>913</v>
      </c>
      <c r="P578" s="8">
        <f t="shared" si="26"/>
        <v>3000</v>
      </c>
      <c r="Q578" s="18" t="s">
        <v>969</v>
      </c>
      <c r="R578" s="9" t="s">
        <v>1211</v>
      </c>
    </row>
    <row r="579" spans="1:18" ht="81" x14ac:dyDescent="0.25">
      <c r="A579" s="156"/>
      <c r="B579" s="157"/>
      <c r="C579" s="27" t="s">
        <v>1177</v>
      </c>
      <c r="D579" s="123"/>
      <c r="E579" s="119"/>
      <c r="F579" s="119"/>
      <c r="G579" s="119"/>
      <c r="H579" s="119"/>
      <c r="I579" s="128"/>
      <c r="J579" s="7" t="s">
        <v>913</v>
      </c>
      <c r="K579" s="8" t="s">
        <v>913</v>
      </c>
      <c r="L579" s="16">
        <v>3000</v>
      </c>
      <c r="M579" s="8" t="s">
        <v>913</v>
      </c>
      <c r="N579" s="8" t="s">
        <v>913</v>
      </c>
      <c r="O579" s="8" t="s">
        <v>913</v>
      </c>
      <c r="P579" s="8">
        <f t="shared" si="26"/>
        <v>3000</v>
      </c>
      <c r="Q579" s="18" t="s">
        <v>969</v>
      </c>
      <c r="R579" s="9" t="s">
        <v>1211</v>
      </c>
    </row>
    <row r="580" spans="1:18" x14ac:dyDescent="0.25">
      <c r="A580" s="145" t="s">
        <v>320</v>
      </c>
      <c r="B580" s="145"/>
      <c r="C580" s="145"/>
      <c r="D580" s="145"/>
      <c r="E580" s="145"/>
      <c r="F580" s="145"/>
      <c r="G580" s="145"/>
      <c r="H580" s="145"/>
      <c r="I580" s="145"/>
      <c r="J580" s="79"/>
      <c r="K580" s="98"/>
      <c r="L580" s="113"/>
      <c r="M580" s="98"/>
      <c r="N580" s="98"/>
      <c r="O580" s="98"/>
      <c r="P580" s="98">
        <f>SUM(P558:P579)</f>
        <v>233540</v>
      </c>
      <c r="Q580" s="99"/>
      <c r="R580" s="112"/>
    </row>
    <row r="581" spans="1:18" ht="14.25" x14ac:dyDescent="0.25">
      <c r="A581" s="158" t="s">
        <v>848</v>
      </c>
      <c r="B581" s="158"/>
      <c r="C581" s="158"/>
      <c r="D581" s="158"/>
      <c r="E581" s="158"/>
      <c r="F581" s="158"/>
      <c r="G581" s="158"/>
      <c r="H581" s="158"/>
      <c r="I581" s="158"/>
      <c r="J581" s="158"/>
      <c r="K581" s="158"/>
      <c r="L581" s="158"/>
      <c r="M581" s="158"/>
      <c r="N581" s="158"/>
      <c r="O581" s="158"/>
      <c r="P581" s="158"/>
      <c r="Q581" s="158"/>
      <c r="R581" s="81"/>
    </row>
    <row r="582" spans="1:18" ht="54" x14ac:dyDescent="0.25">
      <c r="A582" s="127" t="s">
        <v>1178</v>
      </c>
      <c r="B582" s="148" t="s">
        <v>850</v>
      </c>
      <c r="C582" s="27" t="s">
        <v>851</v>
      </c>
      <c r="D582" s="122" t="s">
        <v>852</v>
      </c>
      <c r="E582" s="118" t="s">
        <v>853</v>
      </c>
      <c r="F582" s="120" t="s">
        <v>644</v>
      </c>
      <c r="G582" s="131">
        <v>0</v>
      </c>
      <c r="H582" s="120" t="s">
        <v>670</v>
      </c>
      <c r="I582" s="127" t="s">
        <v>46</v>
      </c>
      <c r="J582" s="7" t="s">
        <v>913</v>
      </c>
      <c r="K582" s="16">
        <f>60000*1.04</f>
        <v>62400</v>
      </c>
      <c r="L582" s="8" t="s">
        <v>913</v>
      </c>
      <c r="M582" s="8" t="s">
        <v>913</v>
      </c>
      <c r="N582" s="8" t="s">
        <v>913</v>
      </c>
      <c r="O582" s="8" t="s">
        <v>913</v>
      </c>
      <c r="P582" s="8">
        <f t="shared" ref="P582:P591" si="27">CEILING(SUM(K582:O582),10)</f>
        <v>62400</v>
      </c>
      <c r="Q582" s="18" t="s">
        <v>944</v>
      </c>
      <c r="R582" s="9" t="s">
        <v>1211</v>
      </c>
    </row>
    <row r="583" spans="1:18" ht="54" x14ac:dyDescent="0.25">
      <c r="A583" s="131"/>
      <c r="B583" s="149"/>
      <c r="C583" s="27" t="s">
        <v>854</v>
      </c>
      <c r="D583" s="159"/>
      <c r="E583" s="121"/>
      <c r="F583" s="120"/>
      <c r="G583" s="131"/>
      <c r="H583" s="136"/>
      <c r="I583" s="131"/>
      <c r="J583" s="7" t="s">
        <v>913</v>
      </c>
      <c r="K583" s="8" t="s">
        <v>913</v>
      </c>
      <c r="L583" s="8" t="s">
        <v>913</v>
      </c>
      <c r="M583" s="8" t="s">
        <v>913</v>
      </c>
      <c r="N583" s="8" t="s">
        <v>913</v>
      </c>
      <c r="O583" s="8" t="s">
        <v>913</v>
      </c>
      <c r="P583" s="8">
        <f t="shared" si="27"/>
        <v>0</v>
      </c>
      <c r="Q583" s="18" t="s">
        <v>944</v>
      </c>
      <c r="R583" s="9" t="s">
        <v>1211</v>
      </c>
    </row>
    <row r="584" spans="1:18" ht="67.5" x14ac:dyDescent="0.25">
      <c r="A584" s="128"/>
      <c r="B584" s="157"/>
      <c r="C584" s="27" t="s">
        <v>855</v>
      </c>
      <c r="D584" s="123"/>
      <c r="E584" s="119"/>
      <c r="F584" s="120"/>
      <c r="G584" s="128"/>
      <c r="H584" s="136"/>
      <c r="I584" s="128"/>
      <c r="J584" s="7" t="s">
        <v>913</v>
      </c>
      <c r="K584" s="8" t="s">
        <v>913</v>
      </c>
      <c r="L584" s="8" t="s">
        <v>913</v>
      </c>
      <c r="M584" s="8" t="s">
        <v>913</v>
      </c>
      <c r="N584" s="8" t="s">
        <v>913</v>
      </c>
      <c r="O584" s="8" t="s">
        <v>913</v>
      </c>
      <c r="P584" s="8">
        <f t="shared" si="27"/>
        <v>0</v>
      </c>
      <c r="Q584" s="18" t="s">
        <v>970</v>
      </c>
      <c r="R584" s="18" t="s">
        <v>970</v>
      </c>
    </row>
    <row r="585" spans="1:18" ht="67.5" x14ac:dyDescent="0.25">
      <c r="A585" s="160" t="s">
        <v>849</v>
      </c>
      <c r="B585" s="148" t="s">
        <v>856</v>
      </c>
      <c r="C585" s="27" t="s">
        <v>466</v>
      </c>
      <c r="D585" s="118" t="s">
        <v>528</v>
      </c>
      <c r="E585" s="118" t="s">
        <v>467</v>
      </c>
      <c r="F585" s="118" t="s">
        <v>645</v>
      </c>
      <c r="G585" s="148">
        <v>0</v>
      </c>
      <c r="H585" s="148" t="s">
        <v>1291</v>
      </c>
      <c r="I585" s="148" t="s">
        <v>46</v>
      </c>
      <c r="J585" s="7" t="s">
        <v>913</v>
      </c>
      <c r="K585" s="8" t="s">
        <v>913</v>
      </c>
      <c r="L585" s="8" t="s">
        <v>913</v>
      </c>
      <c r="M585" s="8" t="s">
        <v>913</v>
      </c>
      <c r="N585" s="8" t="s">
        <v>913</v>
      </c>
      <c r="O585" s="8" t="s">
        <v>913</v>
      </c>
      <c r="P585" s="8">
        <f t="shared" si="27"/>
        <v>0</v>
      </c>
      <c r="Q585" s="18" t="s">
        <v>944</v>
      </c>
      <c r="R585" s="9" t="s">
        <v>1211</v>
      </c>
    </row>
    <row r="586" spans="1:18" ht="108" x14ac:dyDescent="0.25">
      <c r="A586" s="131"/>
      <c r="B586" s="149"/>
      <c r="C586" s="27" t="s">
        <v>468</v>
      </c>
      <c r="D586" s="121"/>
      <c r="E586" s="121"/>
      <c r="F586" s="121"/>
      <c r="G586" s="149"/>
      <c r="H586" s="149"/>
      <c r="I586" s="149"/>
      <c r="J586" s="7" t="s">
        <v>913</v>
      </c>
      <c r="K586" s="8" t="s">
        <v>913</v>
      </c>
      <c r="L586" s="8" t="s">
        <v>913</v>
      </c>
      <c r="M586" s="8" t="s">
        <v>913</v>
      </c>
      <c r="N586" s="8" t="s">
        <v>913</v>
      </c>
      <c r="O586" s="8" t="s">
        <v>913</v>
      </c>
      <c r="P586" s="8">
        <f t="shared" si="27"/>
        <v>0</v>
      </c>
      <c r="Q586" s="18" t="s">
        <v>970</v>
      </c>
      <c r="R586" s="18" t="s">
        <v>970</v>
      </c>
    </row>
    <row r="587" spans="1:18" ht="81" x14ac:dyDescent="0.25">
      <c r="A587" s="131"/>
      <c r="B587" s="149"/>
      <c r="C587" s="27" t="s">
        <v>469</v>
      </c>
      <c r="D587" s="121"/>
      <c r="E587" s="121"/>
      <c r="F587" s="121"/>
      <c r="G587" s="149"/>
      <c r="H587" s="149"/>
      <c r="I587" s="149"/>
      <c r="J587" s="7" t="s">
        <v>913</v>
      </c>
      <c r="K587" s="8" t="s">
        <v>913</v>
      </c>
      <c r="L587" s="16">
        <f>8000*1.04</f>
        <v>8320</v>
      </c>
      <c r="M587" s="8" t="s">
        <v>913</v>
      </c>
      <c r="N587" s="8" t="s">
        <v>913</v>
      </c>
      <c r="O587" s="8" t="s">
        <v>913</v>
      </c>
      <c r="P587" s="8">
        <f t="shared" si="27"/>
        <v>8320</v>
      </c>
      <c r="Q587" s="18" t="s">
        <v>942</v>
      </c>
      <c r="R587" s="9" t="s">
        <v>1211</v>
      </c>
    </row>
    <row r="588" spans="1:18" ht="81" x14ac:dyDescent="0.25">
      <c r="A588" s="128"/>
      <c r="B588" s="157"/>
      <c r="C588" s="27" t="s">
        <v>529</v>
      </c>
      <c r="D588" s="119"/>
      <c r="E588" s="119"/>
      <c r="F588" s="119"/>
      <c r="G588" s="157"/>
      <c r="H588" s="157"/>
      <c r="I588" s="157"/>
      <c r="J588" s="7" t="s">
        <v>913</v>
      </c>
      <c r="K588" s="8" t="s">
        <v>913</v>
      </c>
      <c r="L588" s="8" t="s">
        <v>913</v>
      </c>
      <c r="M588" s="8" t="s">
        <v>913</v>
      </c>
      <c r="N588" s="8" t="s">
        <v>913</v>
      </c>
      <c r="O588" s="8" t="s">
        <v>913</v>
      </c>
      <c r="P588" s="8">
        <f t="shared" si="27"/>
        <v>0</v>
      </c>
      <c r="Q588" s="18" t="s">
        <v>943</v>
      </c>
      <c r="R588" s="9" t="s">
        <v>1212</v>
      </c>
    </row>
    <row r="589" spans="1:18" ht="121.5" x14ac:dyDescent="0.25">
      <c r="A589" s="146" t="s">
        <v>1179</v>
      </c>
      <c r="B589" s="148" t="s">
        <v>857</v>
      </c>
      <c r="C589" s="27" t="s">
        <v>619</v>
      </c>
      <c r="D589" s="118" t="s">
        <v>858</v>
      </c>
      <c r="E589" s="118" t="s">
        <v>620</v>
      </c>
      <c r="F589" s="118" t="s">
        <v>621</v>
      </c>
      <c r="G589" s="118">
        <v>0</v>
      </c>
      <c r="H589" s="118" t="s">
        <v>1284</v>
      </c>
      <c r="I589" s="127" t="s">
        <v>46</v>
      </c>
      <c r="J589" s="7" t="s">
        <v>913</v>
      </c>
      <c r="K589" s="8" t="s">
        <v>913</v>
      </c>
      <c r="L589" s="8" t="s">
        <v>913</v>
      </c>
      <c r="M589" s="8" t="s">
        <v>913</v>
      </c>
      <c r="N589" s="8" t="s">
        <v>913</v>
      </c>
      <c r="O589" s="8" t="s">
        <v>913</v>
      </c>
      <c r="P589" s="8">
        <f t="shared" si="27"/>
        <v>0</v>
      </c>
      <c r="Q589" s="18" t="s">
        <v>943</v>
      </c>
      <c r="R589" s="9" t="s">
        <v>1212</v>
      </c>
    </row>
    <row r="590" spans="1:18" ht="54" x14ac:dyDescent="0.25">
      <c r="A590" s="147"/>
      <c r="B590" s="149"/>
      <c r="C590" s="27" t="s">
        <v>622</v>
      </c>
      <c r="D590" s="121"/>
      <c r="E590" s="121"/>
      <c r="F590" s="121"/>
      <c r="G590" s="121"/>
      <c r="H590" s="121"/>
      <c r="I590" s="131"/>
      <c r="J590" s="7" t="s">
        <v>913</v>
      </c>
      <c r="K590" s="8" t="s">
        <v>913</v>
      </c>
      <c r="L590" s="8" t="s">
        <v>913</v>
      </c>
      <c r="M590" s="8" t="s">
        <v>913</v>
      </c>
      <c r="N590" s="8" t="s">
        <v>913</v>
      </c>
      <c r="O590" s="8" t="s">
        <v>913</v>
      </c>
      <c r="P590" s="8">
        <f t="shared" si="27"/>
        <v>0</v>
      </c>
      <c r="Q590" s="18" t="s">
        <v>943</v>
      </c>
      <c r="R590" s="9" t="s">
        <v>1212</v>
      </c>
    </row>
    <row r="591" spans="1:18" ht="81" x14ac:dyDescent="0.25">
      <c r="A591" s="156"/>
      <c r="B591" s="157"/>
      <c r="C591" s="27" t="s">
        <v>623</v>
      </c>
      <c r="D591" s="119"/>
      <c r="E591" s="119"/>
      <c r="F591" s="119"/>
      <c r="G591" s="119"/>
      <c r="H591" s="119"/>
      <c r="I591" s="128"/>
      <c r="J591" s="7" t="s">
        <v>913</v>
      </c>
      <c r="K591" s="8" t="s">
        <v>913</v>
      </c>
      <c r="L591" s="8" t="s">
        <v>913</v>
      </c>
      <c r="M591" s="8" t="s">
        <v>913</v>
      </c>
      <c r="N591" s="8" t="s">
        <v>913</v>
      </c>
      <c r="O591" s="8" t="s">
        <v>913</v>
      </c>
      <c r="P591" s="8">
        <f t="shared" si="27"/>
        <v>0</v>
      </c>
      <c r="Q591" s="18" t="s">
        <v>943</v>
      </c>
      <c r="R591" s="9" t="s">
        <v>1212</v>
      </c>
    </row>
    <row r="592" spans="1:18" x14ac:dyDescent="0.25">
      <c r="A592" s="114" t="s">
        <v>874</v>
      </c>
      <c r="B592" s="115"/>
      <c r="C592" s="116"/>
      <c r="D592" s="112"/>
      <c r="E592" s="112"/>
      <c r="F592" s="112"/>
      <c r="G592" s="112"/>
      <c r="H592" s="112"/>
      <c r="I592" s="79"/>
      <c r="J592" s="79"/>
      <c r="K592" s="98"/>
      <c r="L592" s="98"/>
      <c r="M592" s="98"/>
      <c r="N592" s="98"/>
      <c r="O592" s="98"/>
      <c r="P592" s="98">
        <f>SUM(P582:P591)</f>
        <v>70720</v>
      </c>
      <c r="Q592" s="99"/>
      <c r="R592" s="112"/>
    </row>
    <row r="593" spans="1:18" ht="14.25" x14ac:dyDescent="0.25">
      <c r="A593" s="158" t="s">
        <v>859</v>
      </c>
      <c r="B593" s="158"/>
      <c r="C593" s="158"/>
      <c r="D593" s="158"/>
      <c r="E593" s="158"/>
      <c r="F593" s="158"/>
      <c r="G593" s="158"/>
      <c r="H593" s="158"/>
      <c r="I593" s="158"/>
      <c r="J593" s="158"/>
      <c r="K593" s="158"/>
      <c r="L593" s="158"/>
      <c r="M593" s="158"/>
      <c r="N593" s="158"/>
      <c r="O593" s="158"/>
      <c r="P593" s="158"/>
      <c r="Q593" s="158"/>
      <c r="R593" s="81"/>
    </row>
    <row r="594" spans="1:18" ht="81" x14ac:dyDescent="0.25">
      <c r="A594" s="127" t="s">
        <v>860</v>
      </c>
      <c r="B594" s="148" t="s">
        <v>1128</v>
      </c>
      <c r="C594" s="27" t="s">
        <v>861</v>
      </c>
      <c r="D594" s="118" t="s">
        <v>862</v>
      </c>
      <c r="E594" s="118" t="s">
        <v>863</v>
      </c>
      <c r="F594" s="118" t="s">
        <v>864</v>
      </c>
      <c r="G594" s="118">
        <v>0</v>
      </c>
      <c r="H594" s="136" t="s">
        <v>1248</v>
      </c>
      <c r="I594" s="136" t="s">
        <v>46</v>
      </c>
      <c r="J594" s="7" t="s">
        <v>913</v>
      </c>
      <c r="K594" s="17">
        <f>15000*1.04</f>
        <v>15600</v>
      </c>
      <c r="L594" s="8" t="s">
        <v>913</v>
      </c>
      <c r="M594" s="8" t="s">
        <v>913</v>
      </c>
      <c r="N594" s="8" t="s">
        <v>913</v>
      </c>
      <c r="O594" s="8" t="s">
        <v>913</v>
      </c>
      <c r="P594" s="8">
        <f t="shared" ref="P594:P600" si="28">CEILING(SUM(K594:O594),10)</f>
        <v>15600</v>
      </c>
      <c r="Q594" s="18" t="s">
        <v>942</v>
      </c>
      <c r="R594" s="9" t="s">
        <v>1211</v>
      </c>
    </row>
    <row r="595" spans="1:18" ht="54" x14ac:dyDescent="0.25">
      <c r="A595" s="131"/>
      <c r="B595" s="157"/>
      <c r="C595" s="27" t="s">
        <v>865</v>
      </c>
      <c r="D595" s="121"/>
      <c r="E595" s="121"/>
      <c r="F595" s="121"/>
      <c r="G595" s="119"/>
      <c r="H595" s="136"/>
      <c r="I595" s="136"/>
      <c r="J595" s="7" t="s">
        <v>913</v>
      </c>
      <c r="K595" s="17">
        <f>10000*1.04</f>
        <v>10400</v>
      </c>
      <c r="L595" s="8" t="s">
        <v>913</v>
      </c>
      <c r="M595" s="8" t="s">
        <v>913</v>
      </c>
      <c r="N595" s="8" t="s">
        <v>913</v>
      </c>
      <c r="O595" s="8" t="s">
        <v>913</v>
      </c>
      <c r="P595" s="8">
        <f t="shared" si="28"/>
        <v>10400</v>
      </c>
      <c r="Q595" s="18" t="s">
        <v>941</v>
      </c>
      <c r="R595" s="9" t="s">
        <v>1211</v>
      </c>
    </row>
    <row r="596" spans="1:18" ht="54" x14ac:dyDescent="0.25">
      <c r="A596" s="127" t="s">
        <v>866</v>
      </c>
      <c r="B596" s="148" t="s">
        <v>867</v>
      </c>
      <c r="C596" s="27" t="s">
        <v>868</v>
      </c>
      <c r="D596" s="121"/>
      <c r="E596" s="118" t="s">
        <v>869</v>
      </c>
      <c r="F596" s="118" t="s">
        <v>870</v>
      </c>
      <c r="G596" s="118">
        <v>0</v>
      </c>
      <c r="H596" s="136" t="s">
        <v>1248</v>
      </c>
      <c r="I596" s="136" t="s">
        <v>46</v>
      </c>
      <c r="J596" s="7" t="s">
        <v>913</v>
      </c>
      <c r="K596" s="16">
        <f>10000*1.04</f>
        <v>10400</v>
      </c>
      <c r="L596" s="8" t="s">
        <v>913</v>
      </c>
      <c r="M596" s="8" t="s">
        <v>913</v>
      </c>
      <c r="N596" s="8" t="s">
        <v>913</v>
      </c>
      <c r="O596" s="8" t="s">
        <v>913</v>
      </c>
      <c r="P596" s="8">
        <f t="shared" si="28"/>
        <v>10400</v>
      </c>
      <c r="Q596" s="18" t="s">
        <v>971</v>
      </c>
      <c r="R596" s="9" t="s">
        <v>1211</v>
      </c>
    </row>
    <row r="597" spans="1:18" ht="54" x14ac:dyDescent="0.25">
      <c r="A597" s="131"/>
      <c r="B597" s="149"/>
      <c r="C597" s="27" t="s">
        <v>871</v>
      </c>
      <c r="D597" s="121"/>
      <c r="E597" s="121"/>
      <c r="F597" s="121"/>
      <c r="G597" s="121"/>
      <c r="H597" s="136"/>
      <c r="I597" s="136"/>
      <c r="J597" s="7" t="s">
        <v>913</v>
      </c>
      <c r="K597" s="16">
        <f>5000*1.04</f>
        <v>5200</v>
      </c>
      <c r="L597" s="8" t="s">
        <v>913</v>
      </c>
      <c r="M597" s="8" t="s">
        <v>913</v>
      </c>
      <c r="N597" s="8" t="s">
        <v>913</v>
      </c>
      <c r="O597" s="8" t="s">
        <v>913</v>
      </c>
      <c r="P597" s="8">
        <f t="shared" si="28"/>
        <v>5200</v>
      </c>
      <c r="Q597" s="18" t="s">
        <v>971</v>
      </c>
      <c r="R597" s="9" t="s">
        <v>1211</v>
      </c>
    </row>
    <row r="598" spans="1:18" ht="54" x14ac:dyDescent="0.25">
      <c r="A598" s="131"/>
      <c r="B598" s="157"/>
      <c r="C598" s="27" t="s">
        <v>872</v>
      </c>
      <c r="D598" s="119"/>
      <c r="E598" s="121"/>
      <c r="F598" s="121"/>
      <c r="G598" s="119"/>
      <c r="H598" s="136"/>
      <c r="I598" s="136"/>
      <c r="J598" s="7" t="s">
        <v>913</v>
      </c>
      <c r="K598" s="16">
        <f>5000*1.04</f>
        <v>5200</v>
      </c>
      <c r="L598" s="8" t="s">
        <v>913</v>
      </c>
      <c r="M598" s="8" t="s">
        <v>913</v>
      </c>
      <c r="N598" s="8" t="s">
        <v>913</v>
      </c>
      <c r="O598" s="8" t="s">
        <v>913</v>
      </c>
      <c r="P598" s="8">
        <f t="shared" si="28"/>
        <v>5200</v>
      </c>
      <c r="Q598" s="18" t="s">
        <v>971</v>
      </c>
      <c r="R598" s="9" t="s">
        <v>1211</v>
      </c>
    </row>
    <row r="599" spans="1:18" ht="81" x14ac:dyDescent="0.25">
      <c r="A599" s="127" t="s">
        <v>873</v>
      </c>
      <c r="B599" s="148" t="s">
        <v>543</v>
      </c>
      <c r="C599" s="27" t="s">
        <v>496</v>
      </c>
      <c r="D599" s="118" t="s">
        <v>544</v>
      </c>
      <c r="E599" s="118" t="s">
        <v>497</v>
      </c>
      <c r="F599" s="118" t="s">
        <v>498</v>
      </c>
      <c r="G599" s="118">
        <v>0</v>
      </c>
      <c r="H599" s="136" t="s">
        <v>1248</v>
      </c>
      <c r="I599" s="136" t="s">
        <v>46</v>
      </c>
      <c r="J599" s="7" t="s">
        <v>913</v>
      </c>
      <c r="K599" s="16">
        <f>3000*1.04</f>
        <v>3120</v>
      </c>
      <c r="L599" s="8" t="s">
        <v>913</v>
      </c>
      <c r="M599" s="8" t="s">
        <v>913</v>
      </c>
      <c r="N599" s="8" t="s">
        <v>913</v>
      </c>
      <c r="O599" s="8" t="s">
        <v>913</v>
      </c>
      <c r="P599" s="8">
        <f t="shared" si="28"/>
        <v>3120</v>
      </c>
      <c r="Q599" s="18" t="s">
        <v>971</v>
      </c>
      <c r="R599" s="9" t="s">
        <v>1211</v>
      </c>
    </row>
    <row r="600" spans="1:18" ht="108" x14ac:dyDescent="0.25">
      <c r="A600" s="131"/>
      <c r="B600" s="157"/>
      <c r="C600" s="27" t="s">
        <v>499</v>
      </c>
      <c r="D600" s="121"/>
      <c r="E600" s="121"/>
      <c r="F600" s="119"/>
      <c r="G600" s="119"/>
      <c r="H600" s="136"/>
      <c r="I600" s="136"/>
      <c r="J600" s="7" t="s">
        <v>913</v>
      </c>
      <c r="K600" s="16">
        <f>3000*1.04</f>
        <v>3120</v>
      </c>
      <c r="L600" s="8" t="s">
        <v>913</v>
      </c>
      <c r="M600" s="8" t="s">
        <v>913</v>
      </c>
      <c r="N600" s="8" t="s">
        <v>913</v>
      </c>
      <c r="O600" s="8" t="s">
        <v>913</v>
      </c>
      <c r="P600" s="8">
        <f t="shared" si="28"/>
        <v>3120</v>
      </c>
      <c r="Q600" s="18" t="s">
        <v>971</v>
      </c>
      <c r="R600" s="9" t="s">
        <v>1211</v>
      </c>
    </row>
    <row r="601" spans="1:18" x14ac:dyDescent="0.25">
      <c r="A601" s="142" t="s">
        <v>874</v>
      </c>
      <c r="B601" s="143"/>
      <c r="C601" s="143"/>
      <c r="D601" s="143"/>
      <c r="E601" s="143"/>
      <c r="F601" s="143"/>
      <c r="G601" s="143"/>
      <c r="H601" s="143"/>
      <c r="I601" s="144"/>
      <c r="J601" s="61"/>
      <c r="K601" s="102"/>
      <c r="L601" s="101"/>
      <c r="M601" s="101"/>
      <c r="N601" s="101"/>
      <c r="O601" s="101"/>
      <c r="P601" s="101">
        <f>SUM(P594:P600)</f>
        <v>53040</v>
      </c>
      <c r="Q601" s="103"/>
      <c r="R601" s="104"/>
    </row>
    <row r="602" spans="1:18" ht="14.25" x14ac:dyDescent="0.25">
      <c r="A602" s="152" t="s">
        <v>875</v>
      </c>
      <c r="B602" s="153"/>
      <c r="C602" s="153"/>
      <c r="D602" s="153"/>
      <c r="E602" s="153"/>
      <c r="F602" s="153"/>
      <c r="G602" s="153"/>
      <c r="H602" s="153"/>
      <c r="I602" s="154"/>
      <c r="J602" s="155"/>
      <c r="K602" s="155"/>
      <c r="L602" s="155"/>
      <c r="M602" s="155"/>
      <c r="N602" s="155"/>
      <c r="O602" s="155"/>
      <c r="P602" s="155"/>
      <c r="Q602" s="155"/>
      <c r="R602" s="88"/>
    </row>
    <row r="603" spans="1:18" ht="108" x14ac:dyDescent="0.25">
      <c r="A603" s="146" t="s">
        <v>876</v>
      </c>
      <c r="B603" s="148" t="s">
        <v>877</v>
      </c>
      <c r="C603" s="41" t="s">
        <v>1180</v>
      </c>
      <c r="D603" s="118" t="s">
        <v>878</v>
      </c>
      <c r="E603" s="118" t="s">
        <v>879</v>
      </c>
      <c r="F603" s="118" t="s">
        <v>880</v>
      </c>
      <c r="G603" s="150">
        <v>0</v>
      </c>
      <c r="H603" s="118" t="s">
        <v>1290</v>
      </c>
      <c r="I603" s="118" t="s">
        <v>46</v>
      </c>
      <c r="J603" s="7" t="s">
        <v>913</v>
      </c>
      <c r="K603" s="16">
        <f>5000*1.04</f>
        <v>5200</v>
      </c>
      <c r="L603" s="8" t="s">
        <v>913</v>
      </c>
      <c r="M603" s="8" t="s">
        <v>913</v>
      </c>
      <c r="N603" s="8" t="s">
        <v>913</v>
      </c>
      <c r="O603" s="8" t="s">
        <v>913</v>
      </c>
      <c r="P603" s="8">
        <f t="shared" ref="P603:P612" si="29">CEILING(SUM(K603:O603),10)</f>
        <v>5200</v>
      </c>
      <c r="Q603" s="18" t="s">
        <v>971</v>
      </c>
      <c r="R603" s="9" t="s">
        <v>1211</v>
      </c>
    </row>
    <row r="604" spans="1:18" ht="81" x14ac:dyDescent="0.25">
      <c r="A604" s="147"/>
      <c r="B604" s="149"/>
      <c r="C604" s="27" t="s">
        <v>881</v>
      </c>
      <c r="D604" s="121"/>
      <c r="E604" s="121"/>
      <c r="F604" s="121"/>
      <c r="G604" s="151"/>
      <c r="H604" s="121"/>
      <c r="I604" s="121"/>
      <c r="J604" s="7" t="s">
        <v>913</v>
      </c>
      <c r="K604" s="8" t="s">
        <v>913</v>
      </c>
      <c r="L604" s="8" t="s">
        <v>913</v>
      </c>
      <c r="M604" s="8" t="s">
        <v>913</v>
      </c>
      <c r="N604" s="8" t="s">
        <v>913</v>
      </c>
      <c r="O604" s="8" t="s">
        <v>913</v>
      </c>
      <c r="P604" s="8">
        <f t="shared" si="29"/>
        <v>0</v>
      </c>
      <c r="Q604" s="18" t="s">
        <v>972</v>
      </c>
      <c r="R604" s="18" t="s">
        <v>972</v>
      </c>
    </row>
    <row r="605" spans="1:18" ht="54" x14ac:dyDescent="0.25">
      <c r="A605" s="147"/>
      <c r="B605" s="149"/>
      <c r="C605" s="27" t="s">
        <v>882</v>
      </c>
      <c r="D605" s="121"/>
      <c r="E605" s="121"/>
      <c r="F605" s="121"/>
      <c r="G605" s="121"/>
      <c r="H605" s="121"/>
      <c r="I605" s="121"/>
      <c r="J605" s="7" t="s">
        <v>913</v>
      </c>
      <c r="K605" s="8" t="s">
        <v>913</v>
      </c>
      <c r="L605" s="8" t="s">
        <v>913</v>
      </c>
      <c r="M605" s="8" t="s">
        <v>913</v>
      </c>
      <c r="N605" s="8" t="s">
        <v>913</v>
      </c>
      <c r="O605" s="8" t="s">
        <v>913</v>
      </c>
      <c r="P605" s="8">
        <f t="shared" si="29"/>
        <v>0</v>
      </c>
      <c r="Q605" s="18" t="s">
        <v>943</v>
      </c>
      <c r="R605" s="9" t="s">
        <v>1212</v>
      </c>
    </row>
    <row r="606" spans="1:18" ht="67.5" x14ac:dyDescent="0.25">
      <c r="A606" s="127" t="s">
        <v>883</v>
      </c>
      <c r="B606" s="148" t="s">
        <v>884</v>
      </c>
      <c r="C606" s="27" t="s">
        <v>885</v>
      </c>
      <c r="D606" s="121"/>
      <c r="E606" s="118" t="s">
        <v>886</v>
      </c>
      <c r="F606" s="118" t="s">
        <v>887</v>
      </c>
      <c r="G606" s="118">
        <v>0</v>
      </c>
      <c r="H606" s="118" t="s">
        <v>1285</v>
      </c>
      <c r="I606" s="118" t="s">
        <v>46</v>
      </c>
      <c r="J606" s="7" t="s">
        <v>913</v>
      </c>
      <c r="K606" s="8" t="s">
        <v>913</v>
      </c>
      <c r="L606" s="8" t="s">
        <v>913</v>
      </c>
      <c r="M606" s="8" t="s">
        <v>913</v>
      </c>
      <c r="N606" s="8" t="s">
        <v>913</v>
      </c>
      <c r="O606" s="8" t="s">
        <v>913</v>
      </c>
      <c r="P606" s="8">
        <f t="shared" si="29"/>
        <v>0</v>
      </c>
      <c r="Q606" s="18" t="s">
        <v>943</v>
      </c>
      <c r="R606" s="9" t="s">
        <v>1212</v>
      </c>
    </row>
    <row r="607" spans="1:18" ht="40.5" x14ac:dyDescent="0.25">
      <c r="A607" s="131"/>
      <c r="B607" s="149"/>
      <c r="C607" s="27" t="s">
        <v>888</v>
      </c>
      <c r="D607" s="121"/>
      <c r="E607" s="121"/>
      <c r="F607" s="121"/>
      <c r="G607" s="121"/>
      <c r="H607" s="121"/>
      <c r="I607" s="121"/>
      <c r="J607" s="7" t="s">
        <v>913</v>
      </c>
      <c r="K607" s="8" t="s">
        <v>913</v>
      </c>
      <c r="L607" s="8" t="s">
        <v>913</v>
      </c>
      <c r="M607" s="8" t="s">
        <v>913</v>
      </c>
      <c r="N607" s="8" t="s">
        <v>913</v>
      </c>
      <c r="O607" s="8" t="s">
        <v>913</v>
      </c>
      <c r="P607" s="8">
        <f t="shared" si="29"/>
        <v>0</v>
      </c>
      <c r="Q607" s="18" t="s">
        <v>943</v>
      </c>
      <c r="R607" s="9" t="s">
        <v>1212</v>
      </c>
    </row>
    <row r="608" spans="1:18" ht="135" x14ac:dyDescent="0.25">
      <c r="A608" s="131"/>
      <c r="B608" s="149"/>
      <c r="C608" s="27" t="s">
        <v>889</v>
      </c>
      <c r="D608" s="121"/>
      <c r="E608" s="121"/>
      <c r="F608" s="121"/>
      <c r="G608" s="121"/>
      <c r="H608" s="121"/>
      <c r="I608" s="121"/>
      <c r="J608" s="7" t="s">
        <v>913</v>
      </c>
      <c r="K608" s="8" t="s">
        <v>913</v>
      </c>
      <c r="L608" s="8" t="s">
        <v>913</v>
      </c>
      <c r="M608" s="8" t="s">
        <v>913</v>
      </c>
      <c r="N608" s="8" t="s">
        <v>913</v>
      </c>
      <c r="O608" s="8" t="s">
        <v>913</v>
      </c>
      <c r="P608" s="8">
        <f t="shared" si="29"/>
        <v>0</v>
      </c>
      <c r="Q608" s="18" t="s">
        <v>943</v>
      </c>
      <c r="R608" s="9" t="s">
        <v>1212</v>
      </c>
    </row>
    <row r="609" spans="1:18" ht="94.5" x14ac:dyDescent="0.25">
      <c r="A609" s="131"/>
      <c r="B609" s="149"/>
      <c r="C609" s="27" t="s">
        <v>890</v>
      </c>
      <c r="D609" s="119"/>
      <c r="E609" s="121"/>
      <c r="F609" s="121"/>
      <c r="G609" s="121"/>
      <c r="H609" s="121"/>
      <c r="I609" s="121"/>
      <c r="J609" s="7" t="s">
        <v>913</v>
      </c>
      <c r="K609" s="8" t="s">
        <v>913</v>
      </c>
      <c r="L609" s="8" t="s">
        <v>913</v>
      </c>
      <c r="M609" s="8" t="s">
        <v>913</v>
      </c>
      <c r="N609" s="8" t="s">
        <v>913</v>
      </c>
      <c r="O609" s="8" t="s">
        <v>913</v>
      </c>
      <c r="P609" s="8">
        <f t="shared" si="29"/>
        <v>0</v>
      </c>
      <c r="Q609" s="18" t="s">
        <v>943</v>
      </c>
      <c r="R609" s="9" t="s">
        <v>1212</v>
      </c>
    </row>
    <row r="610" spans="1:18" ht="135" x14ac:dyDescent="0.25">
      <c r="A610" s="146" t="s">
        <v>891</v>
      </c>
      <c r="B610" s="148" t="s">
        <v>1129</v>
      </c>
      <c r="C610" s="41" t="s">
        <v>892</v>
      </c>
      <c r="D610" s="118" t="s">
        <v>893</v>
      </c>
      <c r="E610" s="118" t="s">
        <v>894</v>
      </c>
      <c r="F610" s="118" t="s">
        <v>895</v>
      </c>
      <c r="G610" s="150">
        <v>0</v>
      </c>
      <c r="H610" s="118" t="s">
        <v>1292</v>
      </c>
      <c r="I610" s="118" t="s">
        <v>46</v>
      </c>
      <c r="J610" s="7" t="s">
        <v>913</v>
      </c>
      <c r="K610" s="16">
        <f>6000*1.04</f>
        <v>6240</v>
      </c>
      <c r="L610" s="8" t="s">
        <v>913</v>
      </c>
      <c r="M610" s="8" t="s">
        <v>913</v>
      </c>
      <c r="N610" s="8" t="s">
        <v>913</v>
      </c>
      <c r="O610" s="8" t="s">
        <v>913</v>
      </c>
      <c r="P610" s="8">
        <f t="shared" si="29"/>
        <v>6240</v>
      </c>
      <c r="Q610" s="18" t="s">
        <v>971</v>
      </c>
      <c r="R610" s="9" t="s">
        <v>1211</v>
      </c>
    </row>
    <row r="611" spans="1:18" ht="81" x14ac:dyDescent="0.25">
      <c r="A611" s="147"/>
      <c r="B611" s="149"/>
      <c r="C611" s="27" t="s">
        <v>896</v>
      </c>
      <c r="D611" s="121"/>
      <c r="E611" s="121"/>
      <c r="F611" s="121"/>
      <c r="G611" s="151"/>
      <c r="H611" s="121"/>
      <c r="I611" s="121"/>
      <c r="J611" s="7" t="s">
        <v>913</v>
      </c>
      <c r="K611" s="8" t="s">
        <v>913</v>
      </c>
      <c r="L611" s="8" t="s">
        <v>913</v>
      </c>
      <c r="M611" s="8" t="s">
        <v>913</v>
      </c>
      <c r="N611" s="8" t="s">
        <v>913</v>
      </c>
      <c r="O611" s="8" t="s">
        <v>913</v>
      </c>
      <c r="P611" s="8">
        <f t="shared" si="29"/>
        <v>0</v>
      </c>
      <c r="Q611" s="18" t="s">
        <v>943</v>
      </c>
      <c r="R611" s="9" t="s">
        <v>1212</v>
      </c>
    </row>
    <row r="612" spans="1:18" ht="135.75" customHeight="1" x14ac:dyDescent="0.25">
      <c r="A612" s="147"/>
      <c r="B612" s="149"/>
      <c r="C612" s="27" t="s">
        <v>897</v>
      </c>
      <c r="D612" s="121"/>
      <c r="E612" s="121"/>
      <c r="F612" s="121"/>
      <c r="G612" s="121"/>
      <c r="H612" s="121"/>
      <c r="I612" s="121"/>
      <c r="J612" s="7" t="s">
        <v>913</v>
      </c>
      <c r="K612" s="8" t="s">
        <v>913</v>
      </c>
      <c r="L612" s="8" t="s">
        <v>913</v>
      </c>
      <c r="M612" s="8" t="s">
        <v>913</v>
      </c>
      <c r="N612" s="8" t="s">
        <v>913</v>
      </c>
      <c r="O612" s="8" t="s">
        <v>913</v>
      </c>
      <c r="P612" s="8">
        <f t="shared" si="29"/>
        <v>0</v>
      </c>
      <c r="Q612" s="18" t="s">
        <v>943</v>
      </c>
      <c r="R612" s="9" t="s">
        <v>1212</v>
      </c>
    </row>
    <row r="613" spans="1:18" x14ac:dyDescent="0.25">
      <c r="A613" s="142" t="s">
        <v>874</v>
      </c>
      <c r="B613" s="143"/>
      <c r="C613" s="143"/>
      <c r="D613" s="143"/>
      <c r="E613" s="143"/>
      <c r="F613" s="143"/>
      <c r="G613" s="143"/>
      <c r="H613" s="143"/>
      <c r="I613" s="144"/>
      <c r="J613" s="56"/>
      <c r="K613" s="57"/>
      <c r="L613" s="57"/>
      <c r="M613" s="57"/>
      <c r="N613" s="57"/>
      <c r="O613" s="57"/>
      <c r="P613" s="59">
        <f>+P610+P603</f>
        <v>11440</v>
      </c>
      <c r="Q613" s="57"/>
      <c r="R613" s="58"/>
    </row>
    <row r="614" spans="1:18" ht="14.25" x14ac:dyDescent="0.25">
      <c r="A614" s="207" t="s">
        <v>1362</v>
      </c>
      <c r="B614" s="208"/>
      <c r="C614" s="208"/>
      <c r="D614" s="208"/>
      <c r="E614" s="208"/>
      <c r="F614" s="208"/>
      <c r="G614" s="208"/>
      <c r="H614" s="208"/>
      <c r="I614" s="209"/>
      <c r="J614" s="63"/>
      <c r="K614" s="64"/>
      <c r="L614" s="64"/>
      <c r="M614" s="64"/>
      <c r="N614" s="64"/>
      <c r="O614" s="64"/>
      <c r="P614" s="117">
        <f>+P613+P601+P592+P580+P556+P546+P514+P486+P456</f>
        <v>1410210</v>
      </c>
      <c r="Q614" s="54"/>
      <c r="R614" s="55"/>
    </row>
    <row r="615" spans="1:18" ht="14.25" x14ac:dyDescent="0.25">
      <c r="A615" s="207" t="s">
        <v>1363</v>
      </c>
      <c r="B615" s="208"/>
      <c r="C615" s="208"/>
      <c r="D615" s="208"/>
      <c r="E615" s="208"/>
      <c r="F615" s="208"/>
      <c r="G615" s="208"/>
      <c r="H615" s="208"/>
      <c r="I615" s="209"/>
      <c r="J615" s="56"/>
      <c r="K615" s="57"/>
      <c r="L615" s="57"/>
      <c r="M615" s="57"/>
      <c r="N615" s="57"/>
      <c r="O615" s="57"/>
      <c r="P615" s="62">
        <f>+P614+P434+P289+P182</f>
        <v>61999947.463124409</v>
      </c>
      <c r="Q615" s="57"/>
      <c r="R615" s="58"/>
    </row>
    <row r="619" spans="1:18" ht="14.25" x14ac:dyDescent="0.25">
      <c r="A619" s="44" t="s">
        <v>1323</v>
      </c>
    </row>
    <row r="620" spans="1:18" ht="14.25" x14ac:dyDescent="0.25">
      <c r="A620" s="44"/>
    </row>
    <row r="621" spans="1:18" x14ac:dyDescent="0.25">
      <c r="A621" s="2" t="s">
        <v>1338</v>
      </c>
      <c r="B621" s="47" t="s">
        <v>1339</v>
      </c>
    </row>
    <row r="622" spans="1:18" x14ac:dyDescent="0.25">
      <c r="A622" s="2" t="s">
        <v>1331</v>
      </c>
      <c r="B622" s="47" t="s">
        <v>1332</v>
      </c>
    </row>
    <row r="623" spans="1:18" x14ac:dyDescent="0.25">
      <c r="A623" s="66" t="s">
        <v>1365</v>
      </c>
      <c r="B623" s="47" t="s">
        <v>1366</v>
      </c>
    </row>
    <row r="624" spans="1:18" x14ac:dyDescent="0.25">
      <c r="A624" s="2" t="s">
        <v>1342</v>
      </c>
      <c r="B624" s="47" t="s">
        <v>1343</v>
      </c>
    </row>
    <row r="625" spans="1:4" x14ac:dyDescent="0.25">
      <c r="A625" s="45" t="s">
        <v>1324</v>
      </c>
      <c r="B625" s="50" t="s">
        <v>1325</v>
      </c>
    </row>
    <row r="626" spans="1:4" x14ac:dyDescent="0.25">
      <c r="A626" s="45" t="s">
        <v>1326</v>
      </c>
      <c r="B626" s="49" t="s">
        <v>1327</v>
      </c>
    </row>
    <row r="627" spans="1:4" x14ac:dyDescent="0.25">
      <c r="A627" s="2" t="s">
        <v>1344</v>
      </c>
      <c r="B627" s="46" t="s">
        <v>1345</v>
      </c>
    </row>
    <row r="628" spans="1:4" x14ac:dyDescent="0.25">
      <c r="A628" s="2" t="s">
        <v>1349</v>
      </c>
      <c r="B628" s="46" t="s">
        <v>1350</v>
      </c>
    </row>
    <row r="629" spans="1:4" x14ac:dyDescent="0.25">
      <c r="A629" s="2" t="s">
        <v>1347</v>
      </c>
      <c r="B629" s="46" t="s">
        <v>1348</v>
      </c>
    </row>
    <row r="630" spans="1:4" x14ac:dyDescent="0.25">
      <c r="A630" s="2" t="s">
        <v>1333</v>
      </c>
      <c r="B630" s="47" t="s">
        <v>1334</v>
      </c>
      <c r="D630" s="2" t="s">
        <v>1355</v>
      </c>
    </row>
    <row r="631" spans="1:4" x14ac:dyDescent="0.25">
      <c r="A631" s="2" t="s">
        <v>1351</v>
      </c>
      <c r="B631" s="46" t="s">
        <v>1352</v>
      </c>
    </row>
    <row r="632" spans="1:4" x14ac:dyDescent="0.25">
      <c r="A632" s="45" t="s">
        <v>46</v>
      </c>
      <c r="B632" s="49" t="s">
        <v>1328</v>
      </c>
    </row>
    <row r="633" spans="1:4" x14ac:dyDescent="0.25">
      <c r="A633" s="45" t="s">
        <v>1336</v>
      </c>
      <c r="B633" s="49" t="s">
        <v>1337</v>
      </c>
    </row>
    <row r="634" spans="1:4" x14ac:dyDescent="0.25">
      <c r="A634" s="2" t="s">
        <v>1346</v>
      </c>
      <c r="B634" s="46" t="s">
        <v>1353</v>
      </c>
    </row>
    <row r="635" spans="1:4" x14ac:dyDescent="0.25">
      <c r="A635" s="48" t="s">
        <v>1335</v>
      </c>
      <c r="B635" s="46" t="s">
        <v>1354</v>
      </c>
    </row>
    <row r="636" spans="1:4" x14ac:dyDescent="0.25">
      <c r="A636" s="2" t="s">
        <v>1340</v>
      </c>
      <c r="B636" s="47" t="s">
        <v>1341</v>
      </c>
    </row>
    <row r="637" spans="1:4" x14ac:dyDescent="0.25">
      <c r="A637" s="2" t="s">
        <v>1329</v>
      </c>
      <c r="B637" s="47" t="s">
        <v>1330</v>
      </c>
    </row>
    <row r="651" spans="2:2" x14ac:dyDescent="0.25">
      <c r="B651" s="29" t="s">
        <v>1355</v>
      </c>
    </row>
  </sheetData>
  <mergeCells count="1012">
    <mergeCell ref="A615:I615"/>
    <mergeCell ref="A182:I182"/>
    <mergeCell ref="A434:I434"/>
    <mergeCell ref="A289:I289"/>
    <mergeCell ref="A614:I614"/>
    <mergeCell ref="A5:Q5"/>
    <mergeCell ref="P130:P131"/>
    <mergeCell ref="J6:Q6"/>
    <mergeCell ref="J8:Q8"/>
    <mergeCell ref="J9:Q9"/>
    <mergeCell ref="J127:J129"/>
    <mergeCell ref="K127:K129"/>
    <mergeCell ref="L127:L129"/>
    <mergeCell ref="M127:M129"/>
    <mergeCell ref="N127:N129"/>
    <mergeCell ref="O127:O129"/>
    <mergeCell ref="P127:P129"/>
    <mergeCell ref="Q127:Q129"/>
    <mergeCell ref="J130:J131"/>
    <mergeCell ref="K130:K131"/>
    <mergeCell ref="L130:L131"/>
    <mergeCell ref="M130:M131"/>
    <mergeCell ref="N130:N131"/>
    <mergeCell ref="I112:I115"/>
    <mergeCell ref="I107:I111"/>
    <mergeCell ref="I85:I86"/>
    <mergeCell ref="I22:I25"/>
    <mergeCell ref="I127:I131"/>
    <mergeCell ref="I6:I7"/>
    <mergeCell ref="H6:H7"/>
    <mergeCell ref="I94:I98"/>
    <mergeCell ref="I99:I104"/>
    <mergeCell ref="O130:O131"/>
    <mergeCell ref="Q130:Q131"/>
    <mergeCell ref="B6:B7"/>
    <mergeCell ref="F561:F563"/>
    <mergeCell ref="G561:G563"/>
    <mergeCell ref="F504:F508"/>
    <mergeCell ref="D519:D526"/>
    <mergeCell ref="E519:E526"/>
    <mergeCell ref="F519:F526"/>
    <mergeCell ref="G519:G526"/>
    <mergeCell ref="K69:K70"/>
    <mergeCell ref="D561:D563"/>
    <mergeCell ref="E561:E563"/>
    <mergeCell ref="E6:E7"/>
    <mergeCell ref="D6:D7"/>
    <mergeCell ref="C6:C7"/>
    <mergeCell ref="F558:F560"/>
    <mergeCell ref="G558:G560"/>
    <mergeCell ref="H558:H560"/>
    <mergeCell ref="I558:I560"/>
    <mergeCell ref="H475:H481"/>
    <mergeCell ref="I475:I481"/>
    <mergeCell ref="E558:E560"/>
    <mergeCell ref="H488:H492"/>
    <mergeCell ref="I488:I492"/>
    <mergeCell ref="J457:Q457"/>
    <mergeCell ref="F337:F341"/>
    <mergeCell ref="D333:D334"/>
    <mergeCell ref="E333:E334"/>
    <mergeCell ref="F333:F334"/>
    <mergeCell ref="G6:G7"/>
    <mergeCell ref="E475:E481"/>
    <mergeCell ref="F6:F7"/>
    <mergeCell ref="A437:A442"/>
    <mergeCell ref="B437:B442"/>
    <mergeCell ref="D437:D442"/>
    <mergeCell ref="E437:E442"/>
    <mergeCell ref="F437:F442"/>
    <mergeCell ref="G437:G442"/>
    <mergeCell ref="H437:H442"/>
    <mergeCell ref="F139:F143"/>
    <mergeCell ref="G139:G143"/>
    <mergeCell ref="F245:F254"/>
    <mergeCell ref="B243:B244"/>
    <mergeCell ref="A6:A7"/>
    <mergeCell ref="I353:I361"/>
    <mergeCell ref="I337:I341"/>
    <mergeCell ref="I365:I367"/>
    <mergeCell ref="I333:I334"/>
    <mergeCell ref="E420:E424"/>
    <mergeCell ref="D410:D419"/>
    <mergeCell ref="A362:A364"/>
    <mergeCell ref="F308:F309"/>
    <mergeCell ref="G308:G309"/>
    <mergeCell ref="E337:E341"/>
    <mergeCell ref="I87:I93"/>
    <mergeCell ref="E241:E242"/>
    <mergeCell ref="A241:A242"/>
    <mergeCell ref="H245:H254"/>
    <mergeCell ref="F241:F242"/>
    <mergeCell ref="F362:F364"/>
    <mergeCell ref="G342:G352"/>
    <mergeCell ref="H342:H352"/>
    <mergeCell ref="A475:A481"/>
    <mergeCell ref="B564:B567"/>
    <mergeCell ref="D564:D567"/>
    <mergeCell ref="E564:E567"/>
    <mergeCell ref="A568:A570"/>
    <mergeCell ref="B568:B570"/>
    <mergeCell ref="D568:D570"/>
    <mergeCell ref="E568:E570"/>
    <mergeCell ref="F568:F570"/>
    <mergeCell ref="G568:G570"/>
    <mergeCell ref="H568:H570"/>
    <mergeCell ref="I568:I570"/>
    <mergeCell ref="B571:B572"/>
    <mergeCell ref="A443:A445"/>
    <mergeCell ref="B443:B445"/>
    <mergeCell ref="D443:D445"/>
    <mergeCell ref="E443:E445"/>
    <mergeCell ref="F443:F445"/>
    <mergeCell ref="G443:G445"/>
    <mergeCell ref="H443:H445"/>
    <mergeCell ref="I443:I445"/>
    <mergeCell ref="A504:A508"/>
    <mergeCell ref="B504:B508"/>
    <mergeCell ref="D504:D508"/>
    <mergeCell ref="E504:E508"/>
    <mergeCell ref="A527:A534"/>
    <mergeCell ref="A514:I514"/>
    <mergeCell ref="H504:H508"/>
    <mergeCell ref="I504:I508"/>
    <mergeCell ref="B475:B481"/>
    <mergeCell ref="G504:G508"/>
    <mergeCell ref="D475:D481"/>
    <mergeCell ref="A515:I515"/>
    <mergeCell ref="F475:F481"/>
    <mergeCell ref="G475:G481"/>
    <mergeCell ref="H509:H513"/>
    <mergeCell ref="F488:F492"/>
    <mergeCell ref="G488:G492"/>
    <mergeCell ref="A509:A513"/>
    <mergeCell ref="B509:B513"/>
    <mergeCell ref="D509:D513"/>
    <mergeCell ref="H551:H555"/>
    <mergeCell ref="I551:I555"/>
    <mergeCell ref="A519:A526"/>
    <mergeCell ref="B519:B526"/>
    <mergeCell ref="G543:G545"/>
    <mergeCell ref="B527:B534"/>
    <mergeCell ref="D527:D534"/>
    <mergeCell ref="G535:G537"/>
    <mergeCell ref="H535:H537"/>
    <mergeCell ref="I535:I537"/>
    <mergeCell ref="F538:F542"/>
    <mergeCell ref="G538:G542"/>
    <mergeCell ref="H538:H542"/>
    <mergeCell ref="I538:I542"/>
    <mergeCell ref="G509:G513"/>
    <mergeCell ref="I509:I513"/>
    <mergeCell ref="E509:E513"/>
    <mergeCell ref="F509:F513"/>
    <mergeCell ref="E527:E534"/>
    <mergeCell ref="F527:F534"/>
    <mergeCell ref="G527:G534"/>
    <mergeCell ref="H527:H534"/>
    <mergeCell ref="I527:I534"/>
    <mergeCell ref="L544:L545"/>
    <mergeCell ref="M544:M545"/>
    <mergeCell ref="N544:N545"/>
    <mergeCell ref="O544:O545"/>
    <mergeCell ref="B543:B545"/>
    <mergeCell ref="H543:H545"/>
    <mergeCell ref="I543:I545"/>
    <mergeCell ref="C544:C545"/>
    <mergeCell ref="A516:A518"/>
    <mergeCell ref="E535:E537"/>
    <mergeCell ref="F535:F537"/>
    <mergeCell ref="G516:G518"/>
    <mergeCell ref="H516:H518"/>
    <mergeCell ref="I516:I518"/>
    <mergeCell ref="A538:A542"/>
    <mergeCell ref="B538:B542"/>
    <mergeCell ref="D538:D542"/>
    <mergeCell ref="E538:E542"/>
    <mergeCell ref="A470:A474"/>
    <mergeCell ref="B470:B474"/>
    <mergeCell ref="D470:D474"/>
    <mergeCell ref="E470:E474"/>
    <mergeCell ref="F470:F474"/>
    <mergeCell ref="A436:I436"/>
    <mergeCell ref="A370:A374"/>
    <mergeCell ref="E410:E419"/>
    <mergeCell ref="D402:D409"/>
    <mergeCell ref="E402:E409"/>
    <mergeCell ref="G402:G409"/>
    <mergeCell ref="H402:H409"/>
    <mergeCell ref="A400:I400"/>
    <mergeCell ref="I493:I503"/>
    <mergeCell ref="F375:F377"/>
    <mergeCell ref="F402:F409"/>
    <mergeCell ref="E375:E377"/>
    <mergeCell ref="I437:I442"/>
    <mergeCell ref="A433:I433"/>
    <mergeCell ref="A420:A424"/>
    <mergeCell ref="B420:B424"/>
    <mergeCell ref="A410:A419"/>
    <mergeCell ref="H383:H393"/>
    <mergeCell ref="H378:H382"/>
    <mergeCell ref="A397:A399"/>
    <mergeCell ref="A488:A492"/>
    <mergeCell ref="B488:B492"/>
    <mergeCell ref="D488:D492"/>
    <mergeCell ref="E488:E492"/>
    <mergeCell ref="E429:E432"/>
    <mergeCell ref="F429:F432"/>
    <mergeCell ref="H429:H432"/>
    <mergeCell ref="F378:F382"/>
    <mergeCell ref="G378:G382"/>
    <mergeCell ref="F370:F374"/>
    <mergeCell ref="I370:I374"/>
    <mergeCell ref="D425:D428"/>
    <mergeCell ref="E425:E428"/>
    <mergeCell ref="F425:F428"/>
    <mergeCell ref="D397:D399"/>
    <mergeCell ref="E397:E399"/>
    <mergeCell ref="E378:E382"/>
    <mergeCell ref="G375:G377"/>
    <mergeCell ref="H375:H377"/>
    <mergeCell ref="I318:I325"/>
    <mergeCell ref="I326:I332"/>
    <mergeCell ref="I342:I352"/>
    <mergeCell ref="D394:D396"/>
    <mergeCell ref="E394:E396"/>
    <mergeCell ref="G410:G419"/>
    <mergeCell ref="H410:H419"/>
    <mergeCell ref="I397:I399"/>
    <mergeCell ref="H420:H424"/>
    <mergeCell ref="I420:I424"/>
    <mergeCell ref="D420:D424"/>
    <mergeCell ref="G383:G393"/>
    <mergeCell ref="A257:A263"/>
    <mergeCell ref="H278:H282"/>
    <mergeCell ref="I278:I282"/>
    <mergeCell ref="H283:H287"/>
    <mergeCell ref="I283:I287"/>
    <mergeCell ref="F292:F295"/>
    <mergeCell ref="G283:G287"/>
    <mergeCell ref="D446:D450"/>
    <mergeCell ref="E446:E450"/>
    <mergeCell ref="F446:F450"/>
    <mergeCell ref="G446:G450"/>
    <mergeCell ref="E270:E271"/>
    <mergeCell ref="F270:F271"/>
    <mergeCell ref="F383:F393"/>
    <mergeCell ref="I375:I377"/>
    <mergeCell ref="I394:I396"/>
    <mergeCell ref="I362:I364"/>
    <mergeCell ref="A368:I368"/>
    <mergeCell ref="D365:D367"/>
    <mergeCell ref="B296:B299"/>
    <mergeCell ref="D296:D299"/>
    <mergeCell ref="E296:E299"/>
    <mergeCell ref="A369:I369"/>
    <mergeCell ref="D370:D374"/>
    <mergeCell ref="E370:E374"/>
    <mergeCell ref="D362:D364"/>
    <mergeCell ref="E362:E364"/>
    <mergeCell ref="A401:I401"/>
    <mergeCell ref="F397:F399"/>
    <mergeCell ref="G397:G399"/>
    <mergeCell ref="A425:A428"/>
    <mergeCell ref="A394:A396"/>
    <mergeCell ref="I243:I244"/>
    <mergeCell ref="G245:G254"/>
    <mergeCell ref="G257:G263"/>
    <mergeCell ref="H257:H263"/>
    <mergeCell ref="A255:I255"/>
    <mergeCell ref="H270:H271"/>
    <mergeCell ref="G243:G244"/>
    <mergeCell ref="G241:G242"/>
    <mergeCell ref="H241:H242"/>
    <mergeCell ref="I270:I271"/>
    <mergeCell ref="A235:A240"/>
    <mergeCell ref="D185:D189"/>
    <mergeCell ref="E185:E189"/>
    <mergeCell ref="B221:B223"/>
    <mergeCell ref="D221:D223"/>
    <mergeCell ref="G264:G269"/>
    <mergeCell ref="H264:H269"/>
    <mergeCell ref="I264:I269"/>
    <mergeCell ref="D257:D263"/>
    <mergeCell ref="E257:E263"/>
    <mergeCell ref="F257:F263"/>
    <mergeCell ref="F264:F269"/>
    <mergeCell ref="H243:H244"/>
    <mergeCell ref="A256:I256"/>
    <mergeCell ref="F243:F244"/>
    <mergeCell ref="D264:D269"/>
    <mergeCell ref="D243:D244"/>
    <mergeCell ref="E245:E254"/>
    <mergeCell ref="B245:B254"/>
    <mergeCell ref="A245:A254"/>
    <mergeCell ref="D245:D254"/>
    <mergeCell ref="B257:B263"/>
    <mergeCell ref="I154:I159"/>
    <mergeCell ref="I164:I167"/>
    <mergeCell ref="I174:I175"/>
    <mergeCell ref="A154:A159"/>
    <mergeCell ref="B154:B159"/>
    <mergeCell ref="A134:A138"/>
    <mergeCell ref="B134:B138"/>
    <mergeCell ref="I144:I146"/>
    <mergeCell ref="I147:I153"/>
    <mergeCell ref="H144:H146"/>
    <mergeCell ref="A224:A227"/>
    <mergeCell ref="B176:B178"/>
    <mergeCell ref="A176:A178"/>
    <mergeCell ref="D176:D178"/>
    <mergeCell ref="B241:B242"/>
    <mergeCell ref="D241:D242"/>
    <mergeCell ref="F235:F240"/>
    <mergeCell ref="E176:E178"/>
    <mergeCell ref="G190:G195"/>
    <mergeCell ref="F147:F153"/>
    <mergeCell ref="A206:A214"/>
    <mergeCell ref="B206:B214"/>
    <mergeCell ref="D206:D214"/>
    <mergeCell ref="E221:E223"/>
    <mergeCell ref="F221:F223"/>
    <mergeCell ref="A144:A146"/>
    <mergeCell ref="E147:E153"/>
    <mergeCell ref="A215:A220"/>
    <mergeCell ref="B215:B220"/>
    <mergeCell ref="D215:D220"/>
    <mergeCell ref="E215:E220"/>
    <mergeCell ref="G235:G240"/>
    <mergeCell ref="D154:D159"/>
    <mergeCell ref="E174:E175"/>
    <mergeCell ref="G174:G175"/>
    <mergeCell ref="H174:H175"/>
    <mergeCell ref="I190:I195"/>
    <mergeCell ref="I179:I180"/>
    <mergeCell ref="I77:I84"/>
    <mergeCell ref="E85:E86"/>
    <mergeCell ref="F77:F84"/>
    <mergeCell ref="G77:G84"/>
    <mergeCell ref="F85:F86"/>
    <mergeCell ref="A85:A86"/>
    <mergeCell ref="A121:A126"/>
    <mergeCell ref="B121:B126"/>
    <mergeCell ref="D121:D126"/>
    <mergeCell ref="E121:E126"/>
    <mergeCell ref="A72:A74"/>
    <mergeCell ref="B72:B74"/>
    <mergeCell ref="H72:H74"/>
    <mergeCell ref="H87:H93"/>
    <mergeCell ref="A87:A93"/>
    <mergeCell ref="A116:A120"/>
    <mergeCell ref="B116:B120"/>
    <mergeCell ref="D116:D120"/>
    <mergeCell ref="E116:E120"/>
    <mergeCell ref="F116:F120"/>
    <mergeCell ref="G116:G120"/>
    <mergeCell ref="G185:G189"/>
    <mergeCell ref="F190:F195"/>
    <mergeCell ref="B190:B195"/>
    <mergeCell ref="A183:I183"/>
    <mergeCell ref="A184:I184"/>
    <mergeCell ref="I171:I172"/>
    <mergeCell ref="A185:A189"/>
    <mergeCell ref="H185:H189"/>
    <mergeCell ref="H176:H178"/>
    <mergeCell ref="A181:I181"/>
    <mergeCell ref="F176:F178"/>
    <mergeCell ref="A196:A205"/>
    <mergeCell ref="H190:H195"/>
    <mergeCell ref="A171:A172"/>
    <mergeCell ref="B160:B163"/>
    <mergeCell ref="A164:A167"/>
    <mergeCell ref="B164:B167"/>
    <mergeCell ref="H171:H172"/>
    <mergeCell ref="H196:H205"/>
    <mergeCell ref="E206:E214"/>
    <mergeCell ref="F206:F214"/>
    <mergeCell ref="G206:G214"/>
    <mergeCell ref="A190:A195"/>
    <mergeCell ref="B171:B172"/>
    <mergeCell ref="B185:B189"/>
    <mergeCell ref="A179:A180"/>
    <mergeCell ref="B179:B180"/>
    <mergeCell ref="D171:D172"/>
    <mergeCell ref="E190:E195"/>
    <mergeCell ref="G176:G178"/>
    <mergeCell ref="F185:F189"/>
    <mergeCell ref="D190:D195"/>
    <mergeCell ref="I196:I205"/>
    <mergeCell ref="I176:I178"/>
    <mergeCell ref="I185:I189"/>
    <mergeCell ref="I206:I214"/>
    <mergeCell ref="D179:D180"/>
    <mergeCell ref="B362:B364"/>
    <mergeCell ref="B425:B428"/>
    <mergeCell ref="F410:F419"/>
    <mergeCell ref="B375:B377"/>
    <mergeCell ref="B370:B374"/>
    <mergeCell ref="H397:H399"/>
    <mergeCell ref="B402:B409"/>
    <mergeCell ref="E365:E367"/>
    <mergeCell ref="F365:F367"/>
    <mergeCell ref="A378:A382"/>
    <mergeCell ref="H394:H396"/>
    <mergeCell ref="B378:B382"/>
    <mergeCell ref="A365:A367"/>
    <mergeCell ref="B365:B367"/>
    <mergeCell ref="H370:H374"/>
    <mergeCell ref="G425:G428"/>
    <mergeCell ref="A335:I335"/>
    <mergeCell ref="A336:I336"/>
    <mergeCell ref="I402:I409"/>
    <mergeCell ref="H353:H361"/>
    <mergeCell ref="A353:A361"/>
    <mergeCell ref="D378:D382"/>
    <mergeCell ref="D353:D361"/>
    <mergeCell ref="B353:B361"/>
    <mergeCell ref="A383:A393"/>
    <mergeCell ref="B383:B393"/>
    <mergeCell ref="I378:I382"/>
    <mergeCell ref="F394:F396"/>
    <mergeCell ref="I410:I419"/>
    <mergeCell ref="D383:D393"/>
    <mergeCell ref="E383:E393"/>
    <mergeCell ref="G394:G396"/>
    <mergeCell ref="H206:H214"/>
    <mergeCell ref="A375:A377"/>
    <mergeCell ref="D375:D377"/>
    <mergeCell ref="E224:E227"/>
    <mergeCell ref="I224:I227"/>
    <mergeCell ref="H224:H227"/>
    <mergeCell ref="F230:F234"/>
    <mergeCell ref="G230:G234"/>
    <mergeCell ref="A228:I228"/>
    <mergeCell ref="I230:I234"/>
    <mergeCell ref="I245:I254"/>
    <mergeCell ref="E264:E269"/>
    <mergeCell ref="A243:A244"/>
    <mergeCell ref="E243:E244"/>
    <mergeCell ref="A264:A269"/>
    <mergeCell ref="B264:B269"/>
    <mergeCell ref="H365:H367"/>
    <mergeCell ref="H318:H325"/>
    <mergeCell ref="H326:H332"/>
    <mergeCell ref="H362:H364"/>
    <mergeCell ref="G362:G364"/>
    <mergeCell ref="G318:G325"/>
    <mergeCell ref="G365:G367"/>
    <mergeCell ref="G353:G361"/>
    <mergeCell ref="G337:G341"/>
    <mergeCell ref="H337:H341"/>
    <mergeCell ref="A283:A287"/>
    <mergeCell ref="B283:B287"/>
    <mergeCell ref="A278:A282"/>
    <mergeCell ref="G270:G271"/>
    <mergeCell ref="I296:I299"/>
    <mergeCell ref="F296:F299"/>
    <mergeCell ref="E179:E180"/>
    <mergeCell ref="F179:F180"/>
    <mergeCell ref="G179:G180"/>
    <mergeCell ref="H179:H180"/>
    <mergeCell ref="A296:A299"/>
    <mergeCell ref="A342:A352"/>
    <mergeCell ref="B342:B352"/>
    <mergeCell ref="A337:A341"/>
    <mergeCell ref="A221:A223"/>
    <mergeCell ref="A229:I229"/>
    <mergeCell ref="A230:A234"/>
    <mergeCell ref="B230:B234"/>
    <mergeCell ref="D230:D234"/>
    <mergeCell ref="E230:E234"/>
    <mergeCell ref="G221:G223"/>
    <mergeCell ref="H221:H223"/>
    <mergeCell ref="D224:D227"/>
    <mergeCell ref="B196:B205"/>
    <mergeCell ref="D196:D205"/>
    <mergeCell ref="E292:E295"/>
    <mergeCell ref="B318:B325"/>
    <mergeCell ref="D318:D325"/>
    <mergeCell ref="F215:F220"/>
    <mergeCell ref="I215:I220"/>
    <mergeCell ref="I257:I263"/>
    <mergeCell ref="H235:H240"/>
    <mergeCell ref="I235:I240"/>
    <mergeCell ref="I241:I242"/>
    <mergeCell ref="H292:H295"/>
    <mergeCell ref="H296:H299"/>
    <mergeCell ref="G296:G299"/>
    <mergeCell ref="F300:F307"/>
    <mergeCell ref="A147:A153"/>
    <mergeCell ref="B147:B153"/>
    <mergeCell ref="D147:D153"/>
    <mergeCell ref="F121:F126"/>
    <mergeCell ref="G121:G126"/>
    <mergeCell ref="I121:I126"/>
    <mergeCell ref="H116:H120"/>
    <mergeCell ref="I116:I120"/>
    <mergeCell ref="C127:C129"/>
    <mergeCell ref="A127:A131"/>
    <mergeCell ref="B127:B131"/>
    <mergeCell ref="D127:D131"/>
    <mergeCell ref="E127:E131"/>
    <mergeCell ref="E72:E74"/>
    <mergeCell ref="F72:F74"/>
    <mergeCell ref="G85:G86"/>
    <mergeCell ref="B87:B93"/>
    <mergeCell ref="G94:G98"/>
    <mergeCell ref="H94:H98"/>
    <mergeCell ref="E99:E104"/>
    <mergeCell ref="F99:F104"/>
    <mergeCell ref="H99:H104"/>
    <mergeCell ref="C130:C131"/>
    <mergeCell ref="A75:I75"/>
    <mergeCell ref="A76:I76"/>
    <mergeCell ref="D85:D86"/>
    <mergeCell ref="D139:D143"/>
    <mergeCell ref="E139:E143"/>
    <mergeCell ref="B144:B146"/>
    <mergeCell ref="D144:D146"/>
    <mergeCell ref="E144:E146"/>
    <mergeCell ref="F144:F146"/>
    <mergeCell ref="F22:F25"/>
    <mergeCell ref="G22:G25"/>
    <mergeCell ref="G10:G21"/>
    <mergeCell ref="A26:A28"/>
    <mergeCell ref="I26:I28"/>
    <mergeCell ref="F26:F28"/>
    <mergeCell ref="F87:F93"/>
    <mergeCell ref="E61:E68"/>
    <mergeCell ref="A77:A84"/>
    <mergeCell ref="D134:D138"/>
    <mergeCell ref="E134:E138"/>
    <mergeCell ref="F134:F138"/>
    <mergeCell ref="G134:G138"/>
    <mergeCell ref="H134:H138"/>
    <mergeCell ref="A132:I132"/>
    <mergeCell ref="A133:I133"/>
    <mergeCell ref="F69:F71"/>
    <mergeCell ref="G69:G71"/>
    <mergeCell ref="H69:H71"/>
    <mergeCell ref="I69:I71"/>
    <mergeCell ref="A43:A45"/>
    <mergeCell ref="B43:B45"/>
    <mergeCell ref="D43:D45"/>
    <mergeCell ref="E43:E45"/>
    <mergeCell ref="F43:F45"/>
    <mergeCell ref="G43:G45"/>
    <mergeCell ref="I72:I74"/>
    <mergeCell ref="H107:H111"/>
    <mergeCell ref="A112:A115"/>
    <mergeCell ref="B112:B115"/>
    <mergeCell ref="D112:D115"/>
    <mergeCell ref="D87:D93"/>
    <mergeCell ref="A8:I8"/>
    <mergeCell ref="A9:I9"/>
    <mergeCell ref="A52:A60"/>
    <mergeCell ref="B52:B60"/>
    <mergeCell ref="D52:D60"/>
    <mergeCell ref="E52:E60"/>
    <mergeCell ref="A46:I46"/>
    <mergeCell ref="A47:I47"/>
    <mergeCell ref="F52:F60"/>
    <mergeCell ref="G52:G60"/>
    <mergeCell ref="H52:H60"/>
    <mergeCell ref="I52:I60"/>
    <mergeCell ref="F48:F51"/>
    <mergeCell ref="A10:A21"/>
    <mergeCell ref="B10:B21"/>
    <mergeCell ref="D10:D21"/>
    <mergeCell ref="E10:E21"/>
    <mergeCell ref="F10:F21"/>
    <mergeCell ref="H10:H21"/>
    <mergeCell ref="I10:I21"/>
    <mergeCell ref="H22:H25"/>
    <mergeCell ref="E29:E35"/>
    <mergeCell ref="D29:D35"/>
    <mergeCell ref="F29:F35"/>
    <mergeCell ref="G29:G35"/>
    <mergeCell ref="H26:H28"/>
    <mergeCell ref="I36:I42"/>
    <mergeCell ref="D48:D51"/>
    <mergeCell ref="E48:E51"/>
    <mergeCell ref="A22:A25"/>
    <mergeCell ref="B22:B25"/>
    <mergeCell ref="H43:H45"/>
    <mergeCell ref="B107:B111"/>
    <mergeCell ref="D107:D111"/>
    <mergeCell ref="E107:E111"/>
    <mergeCell ref="F61:F68"/>
    <mergeCell ref="G61:G68"/>
    <mergeCell ref="B61:B68"/>
    <mergeCell ref="D61:D68"/>
    <mergeCell ref="H61:H68"/>
    <mergeCell ref="H85:H86"/>
    <mergeCell ref="D99:D104"/>
    <mergeCell ref="G99:G104"/>
    <mergeCell ref="A99:A104"/>
    <mergeCell ref="F94:F98"/>
    <mergeCell ref="B99:B104"/>
    <mergeCell ref="A105:I105"/>
    <mergeCell ref="B94:B98"/>
    <mergeCell ref="D94:D98"/>
    <mergeCell ref="E87:E93"/>
    <mergeCell ref="B85:B86"/>
    <mergeCell ref="B77:B84"/>
    <mergeCell ref="D77:D84"/>
    <mergeCell ref="E77:E84"/>
    <mergeCell ref="H77:H84"/>
    <mergeCell ref="G72:G74"/>
    <mergeCell ref="A106:I106"/>
    <mergeCell ref="G87:G93"/>
    <mergeCell ref="A94:A98"/>
    <mergeCell ref="G196:G205"/>
    <mergeCell ref="H154:H159"/>
    <mergeCell ref="F278:F282"/>
    <mergeCell ref="G278:G282"/>
    <mergeCell ref="G292:G295"/>
    <mergeCell ref="I43:I45"/>
    <mergeCell ref="A48:A51"/>
    <mergeCell ref="B48:B51"/>
    <mergeCell ref="I48:I51"/>
    <mergeCell ref="G48:G51"/>
    <mergeCell ref="H48:H51"/>
    <mergeCell ref="D26:D28"/>
    <mergeCell ref="E26:E28"/>
    <mergeCell ref="D36:D42"/>
    <mergeCell ref="E36:E42"/>
    <mergeCell ref="F36:F42"/>
    <mergeCell ref="G36:G42"/>
    <mergeCell ref="H36:H42"/>
    <mergeCell ref="A69:A71"/>
    <mergeCell ref="B69:B71"/>
    <mergeCell ref="D69:D71"/>
    <mergeCell ref="E69:E71"/>
    <mergeCell ref="A61:A68"/>
    <mergeCell ref="I61:I68"/>
    <mergeCell ref="H29:H35"/>
    <mergeCell ref="A36:A42"/>
    <mergeCell ref="B36:B42"/>
    <mergeCell ref="D72:D74"/>
    <mergeCell ref="E94:E98"/>
    <mergeCell ref="A107:A111"/>
    <mergeCell ref="F107:F111"/>
    <mergeCell ref="G107:G111"/>
    <mergeCell ref="D22:D25"/>
    <mergeCell ref="E22:E25"/>
    <mergeCell ref="I29:I35"/>
    <mergeCell ref="A29:A35"/>
    <mergeCell ref="B26:B28"/>
    <mergeCell ref="G26:G28"/>
    <mergeCell ref="B29:B35"/>
    <mergeCell ref="H333:H334"/>
    <mergeCell ref="G370:G374"/>
    <mergeCell ref="E353:E361"/>
    <mergeCell ref="H121:H126"/>
    <mergeCell ref="F174:F175"/>
    <mergeCell ref="G215:G220"/>
    <mergeCell ref="H215:H220"/>
    <mergeCell ref="E154:E159"/>
    <mergeCell ref="F274:F277"/>
    <mergeCell ref="G274:G277"/>
    <mergeCell ref="F353:F361"/>
    <mergeCell ref="G333:G334"/>
    <mergeCell ref="G147:G153"/>
    <mergeCell ref="H230:H234"/>
    <mergeCell ref="H147:H153"/>
    <mergeCell ref="F127:F131"/>
    <mergeCell ref="G127:G131"/>
    <mergeCell ref="H127:H131"/>
    <mergeCell ref="E196:E205"/>
    <mergeCell ref="F196:F205"/>
    <mergeCell ref="D270:D271"/>
    <mergeCell ref="A310:A317"/>
    <mergeCell ref="B310:B317"/>
    <mergeCell ref="D310:D317"/>
    <mergeCell ref="E310:E317"/>
    <mergeCell ref="F154:F159"/>
    <mergeCell ref="G144:G146"/>
    <mergeCell ref="B326:B332"/>
    <mergeCell ref="A292:A295"/>
    <mergeCell ref="D292:D295"/>
    <mergeCell ref="I308:I309"/>
    <mergeCell ref="F318:F325"/>
    <mergeCell ref="D337:D341"/>
    <mergeCell ref="E112:E115"/>
    <mergeCell ref="F112:F115"/>
    <mergeCell ref="G112:G115"/>
    <mergeCell ref="H112:H115"/>
    <mergeCell ref="D235:D240"/>
    <mergeCell ref="I134:I138"/>
    <mergeCell ref="G326:G332"/>
    <mergeCell ref="E235:E240"/>
    <mergeCell ref="B235:B240"/>
    <mergeCell ref="D326:D332"/>
    <mergeCell ref="E326:E332"/>
    <mergeCell ref="A300:A307"/>
    <mergeCell ref="B300:B307"/>
    <mergeCell ref="I221:I223"/>
    <mergeCell ref="B224:B227"/>
    <mergeCell ref="G224:G227"/>
    <mergeCell ref="F224:F227"/>
    <mergeCell ref="A326:A332"/>
    <mergeCell ref="A169:I169"/>
    <mergeCell ref="A168:I168"/>
    <mergeCell ref="A174:A175"/>
    <mergeCell ref="B174:B175"/>
    <mergeCell ref="D174:D175"/>
    <mergeCell ref="I300:I307"/>
    <mergeCell ref="H300:H307"/>
    <mergeCell ref="F326:F332"/>
    <mergeCell ref="D342:D352"/>
    <mergeCell ref="E342:E352"/>
    <mergeCell ref="A308:A309"/>
    <mergeCell ref="B308:B309"/>
    <mergeCell ref="D308:D309"/>
    <mergeCell ref="E308:E309"/>
    <mergeCell ref="D300:D307"/>
    <mergeCell ref="E300:E307"/>
    <mergeCell ref="A270:A271"/>
    <mergeCell ref="B270:B271"/>
    <mergeCell ref="F342:F352"/>
    <mergeCell ref="H274:H277"/>
    <mergeCell ref="A274:A277"/>
    <mergeCell ref="B274:B277"/>
    <mergeCell ref="D274:D277"/>
    <mergeCell ref="E274:E277"/>
    <mergeCell ref="B337:B341"/>
    <mergeCell ref="A333:A334"/>
    <mergeCell ref="B333:B334"/>
    <mergeCell ref="H310:H317"/>
    <mergeCell ref="H308:H309"/>
    <mergeCell ref="I274:I277"/>
    <mergeCell ref="B292:B295"/>
    <mergeCell ref="A272:I272"/>
    <mergeCell ref="A273:I273"/>
    <mergeCell ref="A288:I288"/>
    <mergeCell ref="I292:I295"/>
    <mergeCell ref="E318:E325"/>
    <mergeCell ref="I310:I317"/>
    <mergeCell ref="A139:A143"/>
    <mergeCell ref="H139:H143"/>
    <mergeCell ref="I139:I143"/>
    <mergeCell ref="B139:B143"/>
    <mergeCell ref="A160:A163"/>
    <mergeCell ref="D160:D163"/>
    <mergeCell ref="D164:D167"/>
    <mergeCell ref="E164:E167"/>
    <mergeCell ref="F164:F167"/>
    <mergeCell ref="G164:G167"/>
    <mergeCell ref="H164:H167"/>
    <mergeCell ref="G154:G159"/>
    <mergeCell ref="A318:A325"/>
    <mergeCell ref="F310:F317"/>
    <mergeCell ref="G310:G317"/>
    <mergeCell ref="G300:G307"/>
    <mergeCell ref="D283:D287"/>
    <mergeCell ref="E283:E287"/>
    <mergeCell ref="F283:F287"/>
    <mergeCell ref="A290:I290"/>
    <mergeCell ref="A291:I291"/>
    <mergeCell ref="B278:B282"/>
    <mergeCell ref="D278:D282"/>
    <mergeCell ref="E278:E282"/>
    <mergeCell ref="B397:B399"/>
    <mergeCell ref="A402:A409"/>
    <mergeCell ref="G429:G432"/>
    <mergeCell ref="A429:A432"/>
    <mergeCell ref="B429:B432"/>
    <mergeCell ref="D429:D432"/>
    <mergeCell ref="I383:I393"/>
    <mergeCell ref="B410:B419"/>
    <mergeCell ref="B394:B396"/>
    <mergeCell ref="A446:A450"/>
    <mergeCell ref="H425:H428"/>
    <mergeCell ref="B446:B450"/>
    <mergeCell ref="J515:Q515"/>
    <mergeCell ref="H519:H526"/>
    <mergeCell ref="I519:I526"/>
    <mergeCell ref="B458:B460"/>
    <mergeCell ref="D458:D460"/>
    <mergeCell ref="E458:E460"/>
    <mergeCell ref="F458:F460"/>
    <mergeCell ref="G458:G460"/>
    <mergeCell ref="H458:H460"/>
    <mergeCell ref="I458:I460"/>
    <mergeCell ref="A457:I457"/>
    <mergeCell ref="H446:H450"/>
    <mergeCell ref="I446:I450"/>
    <mergeCell ref="A451:A455"/>
    <mergeCell ref="B451:B455"/>
    <mergeCell ref="D451:D455"/>
    <mergeCell ref="B516:B518"/>
    <mergeCell ref="D516:D518"/>
    <mergeCell ref="E516:E518"/>
    <mergeCell ref="F516:F518"/>
    <mergeCell ref="A461:A469"/>
    <mergeCell ref="B461:B469"/>
    <mergeCell ref="D461:D469"/>
    <mergeCell ref="E461:E469"/>
    <mergeCell ref="F461:F469"/>
    <mergeCell ref="A458:A460"/>
    <mergeCell ref="B589:B591"/>
    <mergeCell ref="D589:D591"/>
    <mergeCell ref="E451:E455"/>
    <mergeCell ref="F451:F455"/>
    <mergeCell ref="G451:G455"/>
    <mergeCell ref="H451:H455"/>
    <mergeCell ref="I451:I455"/>
    <mergeCell ref="A456:I456"/>
    <mergeCell ref="G461:G469"/>
    <mergeCell ref="H461:H469"/>
    <mergeCell ref="I461:I469"/>
    <mergeCell ref="A487:I487"/>
    <mergeCell ref="A482:A485"/>
    <mergeCell ref="B482:B485"/>
    <mergeCell ref="D482:D485"/>
    <mergeCell ref="E482:E485"/>
    <mergeCell ref="F482:F485"/>
    <mergeCell ref="G482:G485"/>
    <mergeCell ref="H482:H485"/>
    <mergeCell ref="I482:I485"/>
    <mergeCell ref="A486:I486"/>
    <mergeCell ref="G470:G474"/>
    <mergeCell ref="H470:H474"/>
    <mergeCell ref="I470:I474"/>
    <mergeCell ref="A493:A503"/>
    <mergeCell ref="B493:B503"/>
    <mergeCell ref="A535:A537"/>
    <mergeCell ref="B535:B537"/>
    <mergeCell ref="D535:D537"/>
    <mergeCell ref="A547:I547"/>
    <mergeCell ref="J547:Q547"/>
    <mergeCell ref="D548:D550"/>
    <mergeCell ref="A557:I557"/>
    <mergeCell ref="H561:H563"/>
    <mergeCell ref="I561:I563"/>
    <mergeCell ref="A573:A576"/>
    <mergeCell ref="B573:B576"/>
    <mergeCell ref="D573:D576"/>
    <mergeCell ref="E573:E576"/>
    <mergeCell ref="F573:F576"/>
    <mergeCell ref="G573:G576"/>
    <mergeCell ref="H573:H576"/>
    <mergeCell ref="I573:I576"/>
    <mergeCell ref="G551:G555"/>
    <mergeCell ref="A558:A560"/>
    <mergeCell ref="B558:B560"/>
    <mergeCell ref="D558:D560"/>
    <mergeCell ref="D571:D572"/>
    <mergeCell ref="E571:E572"/>
    <mergeCell ref="F571:F572"/>
    <mergeCell ref="G571:G572"/>
    <mergeCell ref="H571:H572"/>
    <mergeCell ref="I571:I572"/>
    <mergeCell ref="A564:A567"/>
    <mergeCell ref="P544:P545"/>
    <mergeCell ref="Q544:Q545"/>
    <mergeCell ref="J544:J545"/>
    <mergeCell ref="K544:K545"/>
    <mergeCell ref="J487:Q487"/>
    <mergeCell ref="D493:D503"/>
    <mergeCell ref="E493:E503"/>
    <mergeCell ref="F493:F503"/>
    <mergeCell ref="G493:G503"/>
    <mergeCell ref="H493:H503"/>
    <mergeCell ref="A543:A545"/>
    <mergeCell ref="D543:D545"/>
    <mergeCell ref="E543:E545"/>
    <mergeCell ref="F543:F545"/>
    <mergeCell ref="A577:A579"/>
    <mergeCell ref="B577:B579"/>
    <mergeCell ref="D577:D579"/>
    <mergeCell ref="E577:E579"/>
    <mergeCell ref="F577:F579"/>
    <mergeCell ref="G577:G579"/>
    <mergeCell ref="H577:H579"/>
    <mergeCell ref="I577:I579"/>
    <mergeCell ref="F564:F567"/>
    <mergeCell ref="G564:G567"/>
    <mergeCell ref="H564:H567"/>
    <mergeCell ref="I564:I567"/>
    <mergeCell ref="A556:I556"/>
    <mergeCell ref="J557:Q557"/>
    <mergeCell ref="A571:A572"/>
    <mergeCell ref="D551:D555"/>
    <mergeCell ref="A551:A555"/>
    <mergeCell ref="B551:B555"/>
    <mergeCell ref="E551:E555"/>
    <mergeCell ref="F551:F555"/>
    <mergeCell ref="A561:A563"/>
    <mergeCell ref="B561:B563"/>
    <mergeCell ref="H603:H605"/>
    <mergeCell ref="I603:I605"/>
    <mergeCell ref="A606:A609"/>
    <mergeCell ref="B606:B609"/>
    <mergeCell ref="E606:E609"/>
    <mergeCell ref="F606:F609"/>
    <mergeCell ref="G606:G609"/>
    <mergeCell ref="H606:H609"/>
    <mergeCell ref="I606:I609"/>
    <mergeCell ref="E594:E595"/>
    <mergeCell ref="F594:F595"/>
    <mergeCell ref="G594:G595"/>
    <mergeCell ref="H594:H595"/>
    <mergeCell ref="I594:I595"/>
    <mergeCell ref="A596:A598"/>
    <mergeCell ref="B596:B598"/>
    <mergeCell ref="E596:E598"/>
    <mergeCell ref="F596:F598"/>
    <mergeCell ref="G596:G598"/>
    <mergeCell ref="H596:H598"/>
    <mergeCell ref="I596:I598"/>
    <mergeCell ref="A599:A600"/>
    <mergeCell ref="B599:B600"/>
    <mergeCell ref="D599:D600"/>
    <mergeCell ref="E599:E600"/>
    <mergeCell ref="F599:F600"/>
    <mergeCell ref="G599:G600"/>
    <mergeCell ref="H599:H600"/>
    <mergeCell ref="I599:I600"/>
    <mergeCell ref="F589:F591"/>
    <mergeCell ref="G589:G591"/>
    <mergeCell ref="H589:H591"/>
    <mergeCell ref="A594:A595"/>
    <mergeCell ref="B594:B595"/>
    <mergeCell ref="D594:D598"/>
    <mergeCell ref="A580:I580"/>
    <mergeCell ref="A581:I581"/>
    <mergeCell ref="J581:Q581"/>
    <mergeCell ref="A582:A584"/>
    <mergeCell ref="B582:B584"/>
    <mergeCell ref="D582:D584"/>
    <mergeCell ref="E582:E584"/>
    <mergeCell ref="F582:F584"/>
    <mergeCell ref="G582:G584"/>
    <mergeCell ref="H582:H584"/>
    <mergeCell ref="I582:I584"/>
    <mergeCell ref="A585:A588"/>
    <mergeCell ref="B585:B588"/>
    <mergeCell ref="D585:D588"/>
    <mergeCell ref="E585:E588"/>
    <mergeCell ref="F585:F588"/>
    <mergeCell ref="G585:G588"/>
    <mergeCell ref="H585:H588"/>
    <mergeCell ref="I585:I588"/>
    <mergeCell ref="I589:I591"/>
    <mergeCell ref="A593:I593"/>
    <mergeCell ref="J593:Q593"/>
    <mergeCell ref="A435:I435"/>
    <mergeCell ref="E160:E163"/>
    <mergeCell ref="F160:F163"/>
    <mergeCell ref="G160:G163"/>
    <mergeCell ref="H160:H163"/>
    <mergeCell ref="I160:I163"/>
    <mergeCell ref="A613:I613"/>
    <mergeCell ref="A546:I546"/>
    <mergeCell ref="C69:C70"/>
    <mergeCell ref="J69:J70"/>
    <mergeCell ref="L69:L70"/>
    <mergeCell ref="M69:M70"/>
    <mergeCell ref="N69:N70"/>
    <mergeCell ref="A610:A612"/>
    <mergeCell ref="B610:B612"/>
    <mergeCell ref="D610:D612"/>
    <mergeCell ref="E610:E612"/>
    <mergeCell ref="F610:F612"/>
    <mergeCell ref="G610:G612"/>
    <mergeCell ref="H610:H612"/>
    <mergeCell ref="I610:I612"/>
    <mergeCell ref="A601:I601"/>
    <mergeCell ref="A602:I602"/>
    <mergeCell ref="J602:Q602"/>
    <mergeCell ref="A603:A605"/>
    <mergeCell ref="B603:B605"/>
    <mergeCell ref="D603:D609"/>
    <mergeCell ref="E603:E605"/>
    <mergeCell ref="F603:F605"/>
    <mergeCell ref="G603:G605"/>
    <mergeCell ref="A589:A591"/>
    <mergeCell ref="E589:E591"/>
    <mergeCell ref="R69:R70"/>
    <mergeCell ref="R127:R129"/>
    <mergeCell ref="R130:R131"/>
    <mergeCell ref="R259:R262"/>
    <mergeCell ref="R507:R508"/>
    <mergeCell ref="R544:R545"/>
    <mergeCell ref="Q259:Q262"/>
    <mergeCell ref="O69:O70"/>
    <mergeCell ref="P69:P70"/>
    <mergeCell ref="Q69:Q70"/>
    <mergeCell ref="C326:C327"/>
    <mergeCell ref="C507:C508"/>
    <mergeCell ref="J507:J508"/>
    <mergeCell ref="K507:K508"/>
    <mergeCell ref="L507:L508"/>
    <mergeCell ref="M507:M508"/>
    <mergeCell ref="N507:N508"/>
    <mergeCell ref="O507:O508"/>
    <mergeCell ref="P507:P508"/>
    <mergeCell ref="Q507:Q508"/>
    <mergeCell ref="C259:C262"/>
    <mergeCell ref="J259:J262"/>
    <mergeCell ref="K259:K262"/>
    <mergeCell ref="L259:L262"/>
    <mergeCell ref="M259:M262"/>
    <mergeCell ref="N259:N262"/>
    <mergeCell ref="O259:O262"/>
    <mergeCell ref="P259:P262"/>
    <mergeCell ref="I425:I428"/>
    <mergeCell ref="F420:F424"/>
    <mergeCell ref="G420:G424"/>
    <mergeCell ref="I429:I432"/>
  </mergeCells>
  <phoneticPr fontId="2" type="noConversion"/>
  <pageMargins left="0.7" right="0.7" top="0.75" bottom="0.75" header="0.3" footer="0.3"/>
  <pageSetup orientation="portrait" horizontalDpi="300" verticalDpi="300" r:id="rId1"/>
  <ignoredErrors>
    <ignoredError sqref="P8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Sheet1!_Toc148709580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Iren Khachyan</cp:lastModifiedBy>
  <dcterms:created xsi:type="dcterms:W3CDTF">2023-11-10T09:56:14Z</dcterms:created>
  <dcterms:modified xsi:type="dcterms:W3CDTF">2024-06-12T11:06:17Z</dcterms:modified>
</cp:coreProperties>
</file>