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529CB5DC-3261-4C59-8215-61C321B6FA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" l="1"/>
  <c r="K4" i="1"/>
  <c r="F14" i="1"/>
  <c r="I14" i="1" s="1"/>
  <c r="K14" i="1" s="1"/>
  <c r="J11" i="1"/>
  <c r="J10" i="1"/>
  <c r="J8" i="1"/>
  <c r="K7" i="1"/>
  <c r="K5" i="1"/>
  <c r="H16" i="1"/>
  <c r="J16" i="1" s="1"/>
  <c r="H17" i="1"/>
  <c r="J17" i="1" s="1"/>
  <c r="H18" i="1"/>
  <c r="J18" i="1" s="1"/>
  <c r="E16" i="1"/>
  <c r="E17" i="1"/>
  <c r="E18" i="1"/>
  <c r="D16" i="1"/>
  <c r="D17" i="1"/>
  <c r="D18" i="1"/>
  <c r="F11" i="1"/>
  <c r="I11" i="1" s="1"/>
  <c r="K11" i="1" s="1"/>
  <c r="F12" i="1"/>
  <c r="I12" i="1" s="1"/>
  <c r="K12" i="1" s="1"/>
  <c r="F13" i="1"/>
  <c r="I13" i="1" s="1"/>
  <c r="K13" i="1" s="1"/>
  <c r="F10" i="1"/>
  <c r="I10" i="1" s="1"/>
  <c r="K10" i="1" s="1"/>
  <c r="J9" i="1" l="1"/>
  <c r="F16" i="1"/>
  <c r="K9" i="1"/>
  <c r="K19" i="1"/>
  <c r="J15" i="1"/>
  <c r="J19" i="1" s="1"/>
  <c r="F9" i="1"/>
  <c r="F18" i="1"/>
  <c r="F17" i="1"/>
  <c r="E8" i="1"/>
  <c r="E7" i="1"/>
  <c r="D7" i="1"/>
  <c r="E6" i="1"/>
  <c r="D6" i="1"/>
  <c r="E5" i="1"/>
  <c r="D5" i="1"/>
  <c r="D4" i="1"/>
  <c r="E4" i="1"/>
  <c r="F5" i="1" l="1"/>
  <c r="F4" i="1"/>
  <c r="F6" i="1"/>
  <c r="C15" i="1" l="1"/>
  <c r="E15" i="1" l="1"/>
  <c r="D15" i="1"/>
  <c r="H15" i="1"/>
  <c r="F15" i="1" s="1"/>
</calcChain>
</file>

<file path=xl/sharedStrings.xml><?xml version="1.0" encoding="utf-8"?>
<sst xmlns="http://schemas.openxmlformats.org/spreadsheetml/2006/main" count="44" uniqueCount="41">
  <si>
    <t>Հ/հ</t>
  </si>
  <si>
    <t>Ցուցանիշը</t>
  </si>
  <si>
    <t>Ծանոթություն</t>
  </si>
  <si>
    <t>Թարմ պտուղ և հատապտուղ</t>
  </si>
  <si>
    <t>Խաղող</t>
  </si>
  <si>
    <t>Բանջարեղեն</t>
  </si>
  <si>
    <t>Կարտոֆիլ</t>
  </si>
  <si>
    <t>Կաթ</t>
  </si>
  <si>
    <t>Խոզի</t>
  </si>
  <si>
    <t>Թռչնի</t>
  </si>
  <si>
    <t>Միս (սպանդային քաշով), այդ թվում՝</t>
  </si>
  <si>
    <t>ԽԵԿ-ի և հորթի</t>
  </si>
  <si>
    <t>Ոչխարի և այծի</t>
  </si>
  <si>
    <t xml:space="preserve">Ձուկ </t>
  </si>
  <si>
    <t>Հացահատիկ, ընդամենը</t>
  </si>
  <si>
    <t>ցորեն</t>
  </si>
  <si>
    <t>գարի</t>
  </si>
  <si>
    <t>եգիպտացորեն</t>
  </si>
  <si>
    <t>Մթերման արժեքը /մլն. դրամ/</t>
  </si>
  <si>
    <t>Ներքին շուկայում իրացման արժեքը /մլն. դրամ/</t>
  </si>
  <si>
    <t>1կգ-ի իրացման միջին գինը հաշվարվել է 253 դրամ։</t>
  </si>
  <si>
    <t>1կգ-ի մթերման միջին գինը հաշվարվել է 2000 դրամ, իսկ իրացմանը՝ 2417 դրամ։</t>
  </si>
  <si>
    <t>1կգ-ի մթերման միջին գինը հաշվարվել է 1800 դրամ, իսկ իրացմանը՝ 2826 դրամ։</t>
  </si>
  <si>
    <t>1կգ-ի իրացման միջին գինը հաշվարվել է 3300 դրամ։</t>
  </si>
  <si>
    <t>1կգ-ի իրացման միջին գինը հաշվարվել է 1380 դրամ։</t>
  </si>
  <si>
    <t>1կգ-ի իրացման միջին գինը հաշվարվել է 2200 դրամ։</t>
  </si>
  <si>
    <t>1կգ-ի մթերման միջին գինը հաշվարվել է 150 դրամ։</t>
  </si>
  <si>
    <r>
      <t xml:space="preserve">1կգ-ի մթերման միջին գինը հաշվարվել է </t>
    </r>
    <r>
      <rPr>
        <sz val="11"/>
        <rFont val="GHEA Grapalat"/>
        <family val="3"/>
      </rPr>
      <t xml:space="preserve">132.5 </t>
    </r>
    <r>
      <rPr>
        <sz val="11"/>
        <color theme="1"/>
        <rFont val="GHEA Grapalat"/>
        <family val="3"/>
      </rPr>
      <t>դրամ, իսկ իրացմանը՝ 250 դրամ։</t>
    </r>
  </si>
  <si>
    <r>
      <t>1կգ-ի մթերման միջին գինը հաշվարվել է 235</t>
    </r>
    <r>
      <rPr>
        <sz val="11"/>
        <rFont val="GHEA Grapalat"/>
        <family val="3"/>
      </rPr>
      <t xml:space="preserve"> </t>
    </r>
    <r>
      <rPr>
        <sz val="11"/>
        <color theme="1"/>
        <rFont val="GHEA Grapalat"/>
        <family val="3"/>
      </rPr>
      <t>դրամ, իսկ իրացմանը՝ 250 դրամ։</t>
    </r>
  </si>
  <si>
    <r>
      <t>1կգ-ի մթերման միջին գինը հաշվարվել է 80</t>
    </r>
    <r>
      <rPr>
        <sz val="11"/>
        <rFont val="GHEA Grapalat"/>
        <family val="3"/>
      </rPr>
      <t xml:space="preserve"> </t>
    </r>
    <r>
      <rPr>
        <sz val="11"/>
        <color theme="1"/>
        <rFont val="GHEA Grapalat"/>
        <family val="3"/>
      </rPr>
      <t>դրամ, իսկ իրացմանը՝ 150 դրամ։</t>
    </r>
  </si>
  <si>
    <t xml:space="preserve">Ընդամենը </t>
  </si>
  <si>
    <t xml:space="preserve">ԳՆԱՀԱՏԱԿԱՆ  </t>
  </si>
  <si>
    <t xml:space="preserve">առանձին գյուղատնտեսական մթերքների 2021 թվականի արտադրության ծավալների և իրացման ուղղությունների </t>
  </si>
  <si>
    <t>Արտադրություն /հազ. տոննա/</t>
  </si>
  <si>
    <t>Սեփական կարիքների համար օգտագործում /հազ. տոննա/</t>
  </si>
  <si>
    <t>Ապրանքափոխանակություն և ծառայությունների դիմաց բնամթերքով փոխհատուցում /հազ. տոննա/</t>
  </si>
  <si>
    <t>Կորուստներ և մնացորդներ /հազ. տոննա/</t>
  </si>
  <si>
    <t>Մթերում /հազ. տոննա/</t>
  </si>
  <si>
    <t>Իրացում ներքին շուկայում /հազ. տոննա/</t>
  </si>
  <si>
    <t>Արտահանում /ՍԱՏՄ օպերատիվ տվյալներով/ /հազ. տոննա/</t>
  </si>
  <si>
    <t xml:space="preserve">Կաթի մթերման քանակը հաշվարկվել է շուրջ 80.0 հազար տոննա՝ նկատի ունենալով ընդհանուր մթերման քանակից ԱԱՀ-ի դաշտում աշխատող կազմակերպությունների մթերման ծավալների գնահատականը։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</si>
</sst>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name val="GHEA Grapalat"/>
      <family val="3"/>
    </font>
    <font>
      <b/>
      <sz val="14"/>
      <color theme="1"/>
      <name val="GHEA Grapalat"/>
      <family val="3"/>
    </font>
    <font>
      <b/>
      <sz val="14"/>
      <color theme="1"/>
      <name val="Calibri"/>
      <family val="2"/>
      <scheme val="minor"/>
    </font>
    <font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A4" workbookViewId="0">
      <selection activeCell="L9" sqref="L9"/>
    </sheetView>
  </sheetViews>
  <sheetFormatPr defaultRowHeight="15" x14ac:dyDescent="0.25"/>
  <cols>
    <col min="1" max="1" width="5" style="1" customWidth="1"/>
    <col min="2" max="2" width="17" style="1" customWidth="1"/>
    <col min="3" max="3" width="20.28515625" style="1" customWidth="1"/>
    <col min="4" max="4" width="16.85546875" style="1" customWidth="1"/>
    <col min="5" max="5" width="21.28515625" style="1" customWidth="1"/>
    <col min="6" max="6" width="15.140625" style="1" customWidth="1"/>
    <col min="7" max="7" width="16.140625" style="1" customWidth="1"/>
    <col min="8" max="8" width="11.42578125" style="1" customWidth="1"/>
    <col min="9" max="9" width="11.140625" style="1" customWidth="1"/>
    <col min="10" max="10" width="13.7109375" style="1" customWidth="1"/>
    <col min="11" max="11" width="15.42578125" style="1" customWidth="1"/>
    <col min="12" max="12" width="31" style="1" customWidth="1"/>
    <col min="13" max="16384" width="9.140625" style="1"/>
  </cols>
  <sheetData>
    <row r="1" spans="1:13" s="15" customFormat="1" ht="17.25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s="15" customFormat="1" ht="17.25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ht="120.75" x14ac:dyDescent="0.25">
      <c r="A3" s="14" t="s">
        <v>0</v>
      </c>
      <c r="B3" s="14" t="s">
        <v>1</v>
      </c>
      <c r="C3" s="13" t="s">
        <v>33</v>
      </c>
      <c r="D3" s="13" t="s">
        <v>34</v>
      </c>
      <c r="E3" s="13" t="s">
        <v>35</v>
      </c>
      <c r="F3" s="13" t="s">
        <v>36</v>
      </c>
      <c r="G3" s="13" t="s">
        <v>39</v>
      </c>
      <c r="H3" s="13" t="s">
        <v>37</v>
      </c>
      <c r="I3" s="14" t="s">
        <v>38</v>
      </c>
      <c r="J3" s="14" t="s">
        <v>18</v>
      </c>
      <c r="K3" s="14" t="s">
        <v>19</v>
      </c>
      <c r="L3" s="14" t="s">
        <v>2</v>
      </c>
    </row>
    <row r="4" spans="1:13" ht="49.5" x14ac:dyDescent="0.25">
      <c r="A4" s="7">
        <v>1</v>
      </c>
      <c r="B4" s="8" t="s">
        <v>3</v>
      </c>
      <c r="C4" s="9">
        <v>323</v>
      </c>
      <c r="D4" s="17">
        <f>+C4*23.1%</f>
        <v>74.613</v>
      </c>
      <c r="E4" s="17">
        <f>+C4*3.2%</f>
        <v>10.336</v>
      </c>
      <c r="F4" s="17">
        <f>+C4-D4-E4-G4-H4-I4</f>
        <v>55.250999999999991</v>
      </c>
      <c r="G4" s="17">
        <v>87.6</v>
      </c>
      <c r="H4" s="9">
        <v>33.4</v>
      </c>
      <c r="I4" s="17">
        <v>61.8</v>
      </c>
      <c r="J4" s="17">
        <v>7515</v>
      </c>
      <c r="K4" s="17">
        <f>+I4*250</f>
        <v>15450</v>
      </c>
      <c r="L4" s="8" t="s">
        <v>28</v>
      </c>
    </row>
    <row r="5" spans="1:13" ht="49.5" x14ac:dyDescent="0.25">
      <c r="A5" s="7">
        <v>2</v>
      </c>
      <c r="B5" s="7" t="s">
        <v>4</v>
      </c>
      <c r="C5" s="9">
        <v>237.1</v>
      </c>
      <c r="D5" s="17">
        <f>+C5*7.3%</f>
        <v>17.308299999999999</v>
      </c>
      <c r="E5" s="17">
        <f>+C5*0.6%</f>
        <v>1.4226000000000001</v>
      </c>
      <c r="F5" s="17">
        <f>+C5-D5-E5-G5-H5-I5</f>
        <v>4.7691000000000088</v>
      </c>
      <c r="G5" s="17">
        <v>18.100000000000001</v>
      </c>
      <c r="H5" s="9">
        <v>190</v>
      </c>
      <c r="I5" s="17">
        <v>5.5</v>
      </c>
      <c r="J5" s="17">
        <v>25175</v>
      </c>
      <c r="K5" s="17">
        <f>+I5*250</f>
        <v>1375</v>
      </c>
      <c r="L5" s="8" t="s">
        <v>27</v>
      </c>
    </row>
    <row r="6" spans="1:13" ht="49.5" x14ac:dyDescent="0.25">
      <c r="A6" s="2">
        <v>3</v>
      </c>
      <c r="B6" s="2" t="s">
        <v>5</v>
      </c>
      <c r="C6" s="9">
        <v>619.6</v>
      </c>
      <c r="D6" s="17">
        <f>+C6*12.8%</f>
        <v>79.308800000000005</v>
      </c>
      <c r="E6" s="17">
        <f>+C6*1.8%</f>
        <v>11.152800000000001</v>
      </c>
      <c r="F6" s="17">
        <f>+C6-D6-E6-G6-H6-I6</f>
        <v>30.938400000000058</v>
      </c>
      <c r="G6" s="17">
        <v>52.9</v>
      </c>
      <c r="H6" s="9">
        <v>46.6</v>
      </c>
      <c r="I6" s="17">
        <v>398.7</v>
      </c>
      <c r="J6" s="17">
        <v>3728</v>
      </c>
      <c r="K6" s="17">
        <f>+I6*150</f>
        <v>59805</v>
      </c>
      <c r="L6" s="8" t="s">
        <v>29</v>
      </c>
    </row>
    <row r="7" spans="1:13" ht="33" x14ac:dyDescent="0.25">
      <c r="A7" s="2">
        <v>4</v>
      </c>
      <c r="B7" s="2" t="s">
        <v>6</v>
      </c>
      <c r="C7" s="9">
        <v>364.6</v>
      </c>
      <c r="D7" s="17">
        <f>+C7*25.5%</f>
        <v>92.973000000000013</v>
      </c>
      <c r="E7" s="17">
        <f>+C7*5.8%</f>
        <v>21.146799999999999</v>
      </c>
      <c r="F7" s="17">
        <v>112</v>
      </c>
      <c r="G7" s="9">
        <v>49</v>
      </c>
      <c r="H7" s="18">
        <v>0</v>
      </c>
      <c r="I7" s="17">
        <v>89.5</v>
      </c>
      <c r="J7" s="19">
        <v>0</v>
      </c>
      <c r="K7" s="17">
        <f>+I7*253</f>
        <v>22643.5</v>
      </c>
      <c r="L7" s="8" t="s">
        <v>20</v>
      </c>
    </row>
    <row r="8" spans="1:13" ht="148.5" x14ac:dyDescent="0.25">
      <c r="A8" s="2">
        <v>5</v>
      </c>
      <c r="B8" s="2" t="s">
        <v>7</v>
      </c>
      <c r="C8" s="9">
        <v>670.6</v>
      </c>
      <c r="D8" s="17">
        <v>303.60000000000002</v>
      </c>
      <c r="E8" s="17">
        <f>+C8*2.8%</f>
        <v>18.776799999999998</v>
      </c>
      <c r="F8" s="17">
        <v>28.2</v>
      </c>
      <c r="G8" s="18">
        <v>0</v>
      </c>
      <c r="H8" s="17">
        <v>320</v>
      </c>
      <c r="I8" s="17">
        <v>0</v>
      </c>
      <c r="J8" s="17">
        <f>80*155</f>
        <v>12400</v>
      </c>
      <c r="K8" s="19">
        <v>0</v>
      </c>
      <c r="L8" s="8" t="s">
        <v>40</v>
      </c>
    </row>
    <row r="9" spans="1:13" ht="66" x14ac:dyDescent="0.25">
      <c r="A9" s="2">
        <v>6</v>
      </c>
      <c r="B9" s="3" t="s">
        <v>10</v>
      </c>
      <c r="C9" s="9">
        <v>85.9</v>
      </c>
      <c r="D9" s="17">
        <v>11.6</v>
      </c>
      <c r="E9" s="17">
        <v>0.3</v>
      </c>
      <c r="F9" s="17">
        <f>+F10+F11+F12+F13</f>
        <v>0.60129999999999995</v>
      </c>
      <c r="G9" s="9">
        <v>0.03</v>
      </c>
      <c r="H9" s="17">
        <v>2</v>
      </c>
      <c r="I9" s="17">
        <v>71.400000000000006</v>
      </c>
      <c r="J9" s="17">
        <f>+J10+J11+J12+J13</f>
        <v>3700</v>
      </c>
      <c r="K9" s="17">
        <f>+K10+K11+K12+K13</f>
        <v>166409.5344</v>
      </c>
      <c r="L9" s="8"/>
    </row>
    <row r="10" spans="1:13" ht="49.5" x14ac:dyDescent="0.25">
      <c r="A10" s="2">
        <v>7</v>
      </c>
      <c r="B10" s="2" t="s">
        <v>11</v>
      </c>
      <c r="C10" s="9">
        <v>52.6</v>
      </c>
      <c r="D10" s="17">
        <v>7.3401999999999985</v>
      </c>
      <c r="E10" s="17">
        <v>0.20579999999999998</v>
      </c>
      <c r="F10" s="17">
        <f>+C10*0.7%</f>
        <v>0.36819999999999997</v>
      </c>
      <c r="G10" s="9"/>
      <c r="H10" s="9">
        <v>0.5</v>
      </c>
      <c r="I10" s="17">
        <f>+C10-D10-E10-F10-G10-H10</f>
        <v>44.1858</v>
      </c>
      <c r="J10" s="17">
        <f>+H10*2000</f>
        <v>1000</v>
      </c>
      <c r="K10" s="17">
        <f>+I10*2417</f>
        <v>106797.07860000001</v>
      </c>
      <c r="L10" s="8" t="s">
        <v>21</v>
      </c>
    </row>
    <row r="11" spans="1:13" ht="49.5" x14ac:dyDescent="0.25">
      <c r="A11" s="2">
        <v>8</v>
      </c>
      <c r="B11" s="2" t="s">
        <v>8</v>
      </c>
      <c r="C11" s="9">
        <v>10.4</v>
      </c>
      <c r="D11" s="17">
        <v>1.6798999999999997</v>
      </c>
      <c r="E11" s="17"/>
      <c r="F11" s="17">
        <f t="shared" ref="F11:F13" si="0">+C11*0.7%</f>
        <v>7.279999999999999E-2</v>
      </c>
      <c r="G11" s="9"/>
      <c r="H11" s="9">
        <v>1.5</v>
      </c>
      <c r="I11" s="17">
        <f t="shared" ref="I11:I13" si="1">+C11-D11-E11-F11-G11-H11</f>
        <v>7.1472999999999995</v>
      </c>
      <c r="J11" s="17">
        <f>+H11*1800</f>
        <v>2700</v>
      </c>
      <c r="K11" s="17">
        <f>+I11*2826</f>
        <v>20198.269799999998</v>
      </c>
      <c r="L11" s="8" t="s">
        <v>22</v>
      </c>
      <c r="M11" s="6"/>
    </row>
    <row r="12" spans="1:13" ht="33" x14ac:dyDescent="0.25">
      <c r="A12" s="2">
        <v>9</v>
      </c>
      <c r="B12" s="2" t="s">
        <v>12</v>
      </c>
      <c r="C12" s="9">
        <v>7.5</v>
      </c>
      <c r="D12" s="17">
        <v>1.3</v>
      </c>
      <c r="E12" s="17"/>
      <c r="F12" s="17">
        <f t="shared" si="0"/>
        <v>5.2499999999999991E-2</v>
      </c>
      <c r="G12" s="9">
        <v>0.03</v>
      </c>
      <c r="H12" s="9"/>
      <c r="I12" s="17">
        <f t="shared" si="1"/>
        <v>6.1174999999999997</v>
      </c>
      <c r="J12" s="17"/>
      <c r="K12" s="17">
        <f>+I12*3300</f>
        <v>20187.75</v>
      </c>
      <c r="L12" s="8" t="s">
        <v>23</v>
      </c>
      <c r="M12" s="6"/>
    </row>
    <row r="13" spans="1:13" ht="33" x14ac:dyDescent="0.25">
      <c r="A13" s="2">
        <v>10</v>
      </c>
      <c r="B13" s="2" t="s">
        <v>9</v>
      </c>
      <c r="C13" s="9">
        <v>15.4</v>
      </c>
      <c r="D13" s="17">
        <v>1.26</v>
      </c>
      <c r="E13" s="17">
        <v>0.1</v>
      </c>
      <c r="F13" s="17">
        <f t="shared" si="0"/>
        <v>0.10779999999999999</v>
      </c>
      <c r="G13" s="9"/>
      <c r="H13" s="9"/>
      <c r="I13" s="17">
        <f t="shared" si="1"/>
        <v>13.932200000000002</v>
      </c>
      <c r="J13" s="20"/>
      <c r="K13" s="17">
        <f>+I13*1380</f>
        <v>19226.436000000002</v>
      </c>
      <c r="L13" s="8" t="s">
        <v>24</v>
      </c>
      <c r="M13" s="6"/>
    </row>
    <row r="14" spans="1:13" ht="33" x14ac:dyDescent="0.25">
      <c r="A14" s="2">
        <v>11</v>
      </c>
      <c r="B14" s="3" t="s">
        <v>13</v>
      </c>
      <c r="C14" s="18">
        <v>19.7</v>
      </c>
      <c r="D14" s="17"/>
      <c r="E14" s="18"/>
      <c r="F14" s="21">
        <f>19.7*5%</f>
        <v>0.98499999999999999</v>
      </c>
      <c r="G14" s="9">
        <v>8.8000000000000007</v>
      </c>
      <c r="H14" s="17"/>
      <c r="I14" s="17">
        <f>+C14-F14-G14</f>
        <v>9.9149999999999991</v>
      </c>
      <c r="J14" s="20"/>
      <c r="K14" s="17">
        <f>+I14*2200</f>
        <v>21812.999999999996</v>
      </c>
      <c r="L14" s="8" t="s">
        <v>25</v>
      </c>
      <c r="M14" s="6"/>
    </row>
    <row r="15" spans="1:13" ht="33" x14ac:dyDescent="0.25">
      <c r="A15" s="2">
        <v>12</v>
      </c>
      <c r="B15" s="8" t="s">
        <v>14</v>
      </c>
      <c r="C15" s="21">
        <f>+C16+C17+C18</f>
        <v>140.9</v>
      </c>
      <c r="D15" s="21">
        <f>+C15*46.7%</f>
        <v>65.800300000000007</v>
      </c>
      <c r="E15" s="21">
        <f>+C15*4.3%</f>
        <v>6.0587</v>
      </c>
      <c r="F15" s="21">
        <f>+C15-D15-E15-H15</f>
        <v>41.706400000000002</v>
      </c>
      <c r="G15" s="21">
        <v>0</v>
      </c>
      <c r="H15" s="21">
        <f>+C15*19.4%</f>
        <v>27.334599999999998</v>
      </c>
      <c r="I15" s="21">
        <v>0</v>
      </c>
      <c r="J15" s="21">
        <f>+J16+J17+J18</f>
        <v>4100.1899999999996</v>
      </c>
      <c r="K15" s="20"/>
      <c r="L15" s="8" t="s">
        <v>26</v>
      </c>
    </row>
    <row r="16" spans="1:13" ht="33" x14ac:dyDescent="0.25">
      <c r="A16" s="2">
        <v>13</v>
      </c>
      <c r="B16" s="2" t="s">
        <v>15</v>
      </c>
      <c r="C16" s="21">
        <v>97.1</v>
      </c>
      <c r="D16" s="21">
        <f t="shared" ref="D16:D18" si="2">+C16*46.7%</f>
        <v>45.345700000000001</v>
      </c>
      <c r="E16" s="21">
        <f t="shared" ref="E16:E18" si="3">+C16*4.3%</f>
        <v>4.1752999999999991</v>
      </c>
      <c r="F16" s="21">
        <f t="shared" ref="F16:F18" si="4">+C16-D16-E16-H16</f>
        <v>28.741599999999998</v>
      </c>
      <c r="G16" s="21"/>
      <c r="H16" s="21">
        <f t="shared" ref="H16:H18" si="5">+C16*19.4%</f>
        <v>18.837399999999995</v>
      </c>
      <c r="I16" s="21"/>
      <c r="J16" s="21">
        <f>+H16*150</f>
        <v>2825.6099999999992</v>
      </c>
      <c r="K16" s="20"/>
      <c r="L16" s="8" t="s">
        <v>26</v>
      </c>
    </row>
    <row r="17" spans="1:13" ht="33" x14ac:dyDescent="0.25">
      <c r="A17" s="2">
        <v>14</v>
      </c>
      <c r="B17" s="2" t="s">
        <v>16</v>
      </c>
      <c r="C17" s="21">
        <v>37.5</v>
      </c>
      <c r="D17" s="21">
        <f t="shared" si="2"/>
        <v>17.512499999999999</v>
      </c>
      <c r="E17" s="21">
        <f t="shared" si="3"/>
        <v>1.6124999999999998</v>
      </c>
      <c r="F17" s="21">
        <f t="shared" si="4"/>
        <v>11.100000000000001</v>
      </c>
      <c r="G17" s="21"/>
      <c r="H17" s="21">
        <f t="shared" si="5"/>
        <v>7.2749999999999995</v>
      </c>
      <c r="I17" s="21"/>
      <c r="J17" s="21">
        <f>+H17*150</f>
        <v>1091.25</v>
      </c>
      <c r="K17" s="20"/>
      <c r="L17" s="8" t="s">
        <v>26</v>
      </c>
    </row>
    <row r="18" spans="1:13" ht="33" x14ac:dyDescent="0.25">
      <c r="A18" s="7">
        <v>15</v>
      </c>
      <c r="B18" s="7" t="s">
        <v>17</v>
      </c>
      <c r="C18" s="21">
        <v>6.3</v>
      </c>
      <c r="D18" s="21">
        <f t="shared" si="2"/>
        <v>2.9420999999999999</v>
      </c>
      <c r="E18" s="21">
        <f t="shared" si="3"/>
        <v>0.27089999999999997</v>
      </c>
      <c r="F18" s="21">
        <f t="shared" si="4"/>
        <v>1.8648</v>
      </c>
      <c r="G18" s="21"/>
      <c r="H18" s="21">
        <f t="shared" si="5"/>
        <v>1.2221999999999997</v>
      </c>
      <c r="I18" s="21"/>
      <c r="J18" s="21">
        <f>+H18*150</f>
        <v>183.32999999999996</v>
      </c>
      <c r="K18" s="20"/>
      <c r="L18" s="8" t="s">
        <v>26</v>
      </c>
    </row>
    <row r="19" spans="1:13" ht="20.25" x14ac:dyDescent="0.25">
      <c r="A19" s="10" t="s">
        <v>30</v>
      </c>
      <c r="B19" s="10"/>
      <c r="C19" s="22"/>
      <c r="D19" s="22"/>
      <c r="E19" s="22"/>
      <c r="F19" s="22"/>
      <c r="G19" s="22"/>
      <c r="H19" s="22"/>
      <c r="I19" s="22"/>
      <c r="J19" s="23">
        <f>+J4+J5+J6+J7+J8+J9+J14+J15</f>
        <v>56618.19</v>
      </c>
      <c r="K19" s="23">
        <f>+K4+K5+K6+K7+K8+K9+K14+K15</f>
        <v>287496.0344</v>
      </c>
      <c r="L19" s="11"/>
      <c r="M19" s="12"/>
    </row>
    <row r="20" spans="1:13" ht="16.5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13" ht="16.5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13" ht="16.5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13" ht="16.5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13" ht="16.5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13" ht="16.5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13" ht="16.5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13" ht="16.5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13" ht="16.5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3" ht="16.5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13" ht="16.5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13" ht="16.5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3" ht="16.5" x14ac:dyDescent="0.25">
      <c r="A32" s="5"/>
      <c r="B32" s="5"/>
      <c r="C32" s="5"/>
      <c r="D32" s="5"/>
      <c r="E32" s="5"/>
      <c r="F32" s="5"/>
      <c r="G32" s="5"/>
      <c r="H32" s="5"/>
      <c r="I32" s="5"/>
    </row>
  </sheetData>
  <mergeCells count="3">
    <mergeCell ref="A19:B19"/>
    <mergeCell ref="A2:L2"/>
    <mergeCell ref="A1:L1"/>
  </mergeCells>
  <pageMargins left="0" right="0" top="0.75" bottom="0.75" header="0.3" footer="0.3"/>
  <pageSetup scale="8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2022-06-08T08:30:23Z</dcterms:modified>
</cp:coreProperties>
</file>