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350" activeTab="0"/>
  </bookViews>
  <sheets>
    <sheet name="շահույթ" sheetId="1" r:id="rId1"/>
    <sheet name="այգի" sheetId="2" state="hidden" r:id="rId2"/>
    <sheet name="թունելներ" sheetId="3" state="hidden" r:id="rId3"/>
    <sheet name="այգի խնամք" sheetId="4" state="hidden" r:id="rId4"/>
    <sheet name="թունելների խնամք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<sst xmlns="http://schemas.openxmlformats.org/spreadsheetml/2006/main" count="187" uniqueCount="68">
  <si>
    <t xml:space="preserve">Ժամանակահատվածը </t>
  </si>
  <si>
    <t>Հիմնման և խնամքի ծախսեր, 
հազ.դրամ</t>
  </si>
  <si>
    <t>խնձորենի</t>
  </si>
  <si>
    <t>կեռասենի</t>
  </si>
  <si>
    <t>Վաճառքի միջինացված գինը,
 դր/կգ</t>
  </si>
  <si>
    <t>Ընդամենը շահույթ, 
հազ. դր.</t>
  </si>
  <si>
    <t>Հիմնում և առաջին տարվա խնամք</t>
  </si>
  <si>
    <t>Երկրորդ տարվա խնամք</t>
  </si>
  <si>
    <t>Երրորդ տարվա խնամք</t>
  </si>
  <si>
    <t>Չորրորդ տարվա խնամք</t>
  </si>
  <si>
    <t>Հինգերորդ տարվա խնամք</t>
  </si>
  <si>
    <t>Համախառն բերքը*,
 տոննա</t>
  </si>
  <si>
    <t>Համախառն բերքը կանխատեսված է շուկայում պահանջարկ ունեցող սորտերին բնորոշ բերքատվության ցուցանիշին համապատասխան, բնակլիմայական բարենպաստ պայմանների դեպքում</t>
  </si>
  <si>
    <t>Ընդամենը հասույթ,
հազ. դր.</t>
  </si>
  <si>
    <t xml:space="preserve">Ընդամենը
 </t>
  </si>
  <si>
    <t>ծիրանենի,
սալորենի, 
դեղձենի</t>
  </si>
  <si>
    <t>Վեցերորդ տարվա խնամք</t>
  </si>
  <si>
    <t>Վարկի մարում,
 հազ.դրամ</t>
  </si>
  <si>
    <t xml:space="preserve"> </t>
  </si>
  <si>
    <t xml:space="preserve">ազնվամորի և մոշ </t>
  </si>
  <si>
    <t xml:space="preserve">ազնվամորի և մոշ թունելային ջերմատանը </t>
  </si>
  <si>
    <t>Խոր վար</t>
  </si>
  <si>
    <t>հա</t>
  </si>
  <si>
    <t>Չիզել</t>
  </si>
  <si>
    <t>Քարհավաք</t>
  </si>
  <si>
    <t>Հողամասի տեղաձևում</t>
  </si>
  <si>
    <t>Տնկանյութի արժեք</t>
  </si>
  <si>
    <t>հատ</t>
  </si>
  <si>
    <t>Մարգերի պատրաստում և տնկում</t>
  </si>
  <si>
    <t>շարք</t>
  </si>
  <si>
    <t>Թարմային համակարգ</t>
  </si>
  <si>
    <t xml:space="preserve">Ջրում </t>
  </si>
  <si>
    <r>
      <t>հազ.մ</t>
    </r>
    <r>
      <rPr>
        <vertAlign val="superscript"/>
        <sz val="11"/>
        <color indexed="8"/>
        <rFont val="GHEA Grapalat"/>
        <family val="3"/>
      </rPr>
      <t>3</t>
    </r>
  </si>
  <si>
    <t>Մարգերի մուլչապատում</t>
  </si>
  <si>
    <t>գծմ</t>
  </si>
  <si>
    <t xml:space="preserve">Պայքար հիվանդությունների և վնասատուների դեմ </t>
  </si>
  <si>
    <t>կգ</t>
  </si>
  <si>
    <t>Այլ պարարտանյութեր</t>
  </si>
  <si>
    <t>Չնախատեսված այլ աշխատանքներ և ծախսեր 5%</t>
  </si>
  <si>
    <t>Ընդամենը այգու հիմնման և 1-ին տարվա խնամքի համար</t>
  </si>
  <si>
    <t>Կարկտապաշտպան համակարգի  տեղակայում</t>
  </si>
  <si>
    <t>Աշխատանքի անվանումը</t>
  </si>
  <si>
    <t>Չափի միավորը</t>
  </si>
  <si>
    <t>Ֆիզիկական ծավալները</t>
  </si>
  <si>
    <t>Միավորի արժեքը,</t>
  </si>
  <si>
    <t>դրամ</t>
  </si>
  <si>
    <t xml:space="preserve">Ընդամենը ծախսեր  </t>
  </si>
  <si>
    <t>հազ. դրամ</t>
  </si>
  <si>
    <t>Հողախառնուրդի պատրաստում և տեղափոխում</t>
  </si>
  <si>
    <t>Կաթիլային ոռոգման համակարգի տեղադրում (ներառյալ պոմպակայան)</t>
  </si>
  <si>
    <t>Լուծելի համալիր պարարտանյութ սնուցման համար</t>
  </si>
  <si>
    <t>Բերքահավաք</t>
  </si>
  <si>
    <t>Թունելների տեղակայում</t>
  </si>
  <si>
    <t>5 հա ազնվամորու և մոշի ինտենսիվ այգիների հիմնման և առաջին տարվա խնամքի ծախսերի հաշվարկ</t>
  </si>
  <si>
    <t>2.5 հա թունելներում ազնվամորու և մոշի ինտենսիվ այգիների հիմնման և առաջին տարվա խնամքի ծախսերի հաշվարկ</t>
  </si>
  <si>
    <t>5 հա ազնվամորու և մոշի ինտենսիվ այգիների երկրորդ և հետագա տարիների խնամքի ծախսերի հաշվարկ</t>
  </si>
  <si>
    <t>2.5 հա թունելներում ազնվամորու և մոշի ինտենսիվ այգիների երկրորդ և հետագա տարիների խնամքի ծախսերի հաշվարկ</t>
  </si>
  <si>
    <t>Ընդամենը այգու 2-րդ և հետագա տարիների խնամքի համար</t>
  </si>
  <si>
    <t>Ընդամենը թունելներում այգու 2-րդ և հետագա տարիների խնամքի համար</t>
  </si>
  <si>
    <t>Ընդամենը թունելներում այգու հիմնման և 1-ին տարվա խնամքի համար</t>
  </si>
  <si>
    <t>Խնամքի ծախսեր</t>
  </si>
  <si>
    <t>մարդ.օր</t>
  </si>
  <si>
    <t>Խնամքի աշխատանքներ</t>
  </si>
  <si>
    <t>5*140</t>
  </si>
  <si>
    <t>5*210</t>
  </si>
  <si>
    <t>5*200</t>
  </si>
  <si>
    <t>5*300</t>
  </si>
  <si>
    <r>
      <rPr>
        <sz val="14"/>
        <color indexed="8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GHEA Grapalat"/>
        <family val="3"/>
      </rPr>
      <t xml:space="preserve">                            
Հաշվարկ
 5 հա խնձորենու, ծիրանենու, կեռասենու, ազնվամորու և մոշի ինտենսիվ այգուց մինչև այգու լրիվ բերքատվության մեջ մտնելը ստացվող շահույթի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</si>
</sst>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\,\ yyyy"/>
    <numFmt numFmtId="183" formatCode="[$-409]h:mm:ss\ AM/PM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GHEA Grapalat"/>
      <family val="3"/>
    </font>
    <font>
      <sz val="14"/>
      <color indexed="8"/>
      <name val="GHEA Grapalat"/>
      <family val="3"/>
    </font>
    <font>
      <vertAlign val="superscript"/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vertical="top" wrapText="1"/>
    </xf>
    <xf numFmtId="172" fontId="42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2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2" fontId="42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center" vertical="center" wrapText="1"/>
    </xf>
    <xf numFmtId="172" fontId="42" fillId="33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172" fontId="44" fillId="34" borderId="10" xfId="0" applyNumberFormat="1" applyFont="1" applyFill="1" applyBorder="1" applyAlignment="1">
      <alignment horizontal="center" vertical="center" wrapText="1"/>
    </xf>
    <xf numFmtId="43" fontId="42" fillId="0" borderId="10" xfId="42" applyFont="1" applyBorder="1" applyAlignment="1">
      <alignment/>
    </xf>
    <xf numFmtId="185" fontId="42" fillId="0" borderId="10" xfId="42" applyNumberFormat="1" applyFont="1" applyBorder="1" applyAlignment="1">
      <alignment/>
    </xf>
    <xf numFmtId="185" fontId="42" fillId="0" borderId="10" xfId="42" applyNumberFormat="1" applyFont="1" applyFill="1" applyBorder="1" applyAlignment="1">
      <alignment horizontal="center" vertical="center"/>
    </xf>
    <xf numFmtId="185" fontId="44" fillId="0" borderId="10" xfId="42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cuments\MIN.%20AGRO\&#1342;&#1408;&#1377;&#1379;&#1408;&#1381;&#1408;%202017\&#1339;&#1398;&#1407;&#1381;&#1398;&#1405;&#1387;&#1406;%20&#1377;&#1397;&#1379;&#1387;%20&#1406;&#1377;&#1408;&#1391;%20&#1390;&#1408;&#1377;&#1379;&#1387;&#1408;%20&#1406;&#1381;&#1408;&#1403;&#1387;&#1398;\&#1398;&#1377;&#1389;.&#1379;&#1398;&#1377;&#1409;&#1400;&#1394;\hashvark_vark1.0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ndzor"/>
      <sheetName val="Tsiran"/>
      <sheetName val="keras"/>
      <sheetName val="aznvamori"/>
      <sheetName val="tunelayin"/>
    </sheetNames>
    <sheetDataSet>
      <sheetData sheetId="0">
        <row r="19">
          <cell r="R19">
            <v>5859675.000000001</v>
          </cell>
        </row>
        <row r="31">
          <cell r="R31">
            <v>24944310.9375</v>
          </cell>
        </row>
        <row r="43">
          <cell r="R43">
            <v>23967698.4375</v>
          </cell>
        </row>
        <row r="55">
          <cell r="R55">
            <v>22991085.9375</v>
          </cell>
        </row>
        <row r="67">
          <cell r="R67">
            <v>22014473.4375</v>
          </cell>
        </row>
        <row r="79">
          <cell r="R79">
            <v>21037860.9375</v>
          </cell>
        </row>
      </sheetData>
      <sheetData sheetId="1">
        <row r="19">
          <cell r="R19">
            <v>4660425.000000002</v>
          </cell>
        </row>
        <row r="31">
          <cell r="R31">
            <v>19839170.3125</v>
          </cell>
        </row>
        <row r="43">
          <cell r="R43">
            <v>19062432.8125</v>
          </cell>
        </row>
        <row r="55">
          <cell r="R55">
            <v>18285695.3125</v>
          </cell>
        </row>
        <row r="67">
          <cell r="R67">
            <v>17508957.8125</v>
          </cell>
        </row>
        <row r="79">
          <cell r="R79">
            <v>16732220.3125</v>
          </cell>
        </row>
      </sheetData>
      <sheetData sheetId="2">
        <row r="19">
          <cell r="R19">
            <v>4855050.000000002</v>
          </cell>
        </row>
        <row r="31">
          <cell r="R31">
            <v>20667678.125</v>
          </cell>
        </row>
        <row r="43">
          <cell r="R43">
            <v>19858503.125</v>
          </cell>
        </row>
        <row r="55">
          <cell r="R55">
            <v>19049328.125</v>
          </cell>
        </row>
        <row r="67">
          <cell r="R67">
            <v>18240153.125</v>
          </cell>
        </row>
        <row r="79">
          <cell r="R79">
            <v>17430978.125</v>
          </cell>
        </row>
      </sheetData>
      <sheetData sheetId="3">
        <row r="19">
          <cell r="R19">
            <v>11124399.375000002</v>
          </cell>
        </row>
        <row r="31">
          <cell r="R31">
            <v>47355950.1171875</v>
          </cell>
        </row>
        <row r="43">
          <cell r="R43">
            <v>45501883.5546875</v>
          </cell>
        </row>
        <row r="55">
          <cell r="R55">
            <v>43647816.9921875</v>
          </cell>
        </row>
        <row r="67">
          <cell r="R67">
            <v>41793750.4296875</v>
          </cell>
        </row>
        <row r="79">
          <cell r="R79">
            <v>39939683.8671875</v>
          </cell>
        </row>
      </sheetData>
      <sheetData sheetId="4">
        <row r="19">
          <cell r="R19">
            <v>25227244.374999996</v>
          </cell>
        </row>
        <row r="31">
          <cell r="R31">
            <v>107390977.79079863</v>
          </cell>
        </row>
        <row r="43">
          <cell r="R43">
            <v>103186437.06163199</v>
          </cell>
        </row>
        <row r="55">
          <cell r="R55">
            <v>98981896.33246532</v>
          </cell>
        </row>
        <row r="67">
          <cell r="R67">
            <v>94777355.60329865</v>
          </cell>
        </row>
        <row r="79">
          <cell r="R79">
            <v>90572814.87413198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="80" zoomScaleNormal="80" zoomScalePageLayoutView="0" workbookViewId="0" topLeftCell="P1">
      <selection activeCell="AD16" sqref="AD16"/>
    </sheetView>
  </sheetViews>
  <sheetFormatPr defaultColWidth="9.140625" defaultRowHeight="15"/>
  <cols>
    <col min="1" max="1" width="25.28125" style="0" customWidth="1"/>
    <col min="2" max="2" width="16.7109375" style="0" customWidth="1"/>
    <col min="3" max="3" width="18.00390625" style="0" customWidth="1"/>
    <col min="4" max="11" width="17.8515625" style="0" customWidth="1"/>
    <col min="12" max="12" width="12.421875" style="0" customWidth="1"/>
    <col min="13" max="13" width="12.00390625" style="0" customWidth="1"/>
    <col min="14" max="14" width="10.7109375" style="0" customWidth="1"/>
    <col min="15" max="15" width="13.7109375" style="0" customWidth="1"/>
    <col min="16" max="16" width="13.28125" style="0" customWidth="1"/>
    <col min="17" max="17" width="10.8515625" style="0" customWidth="1"/>
    <col min="18" max="18" width="12.421875" style="0" customWidth="1"/>
    <col min="19" max="19" width="10.421875" style="0" customWidth="1"/>
    <col min="20" max="20" width="12.00390625" style="0" customWidth="1"/>
    <col min="21" max="21" width="14.00390625" style="0" customWidth="1"/>
    <col min="22" max="22" width="13.140625" style="0" customWidth="1"/>
    <col min="23" max="23" width="12.140625" style="0" customWidth="1"/>
    <col min="24" max="24" width="12.57421875" style="0" customWidth="1"/>
    <col min="25" max="25" width="15.7109375" style="0" customWidth="1"/>
    <col min="26" max="26" width="15.421875" style="0" customWidth="1"/>
    <col min="27" max="27" width="13.421875" style="0" customWidth="1"/>
    <col min="28" max="28" width="12.00390625" style="0" customWidth="1"/>
    <col min="29" max="29" width="12.57421875" style="0" customWidth="1"/>
    <col min="30" max="30" width="14.8515625" style="0" customWidth="1"/>
    <col min="31" max="31" width="15.421875" style="0" customWidth="1"/>
  </cols>
  <sheetData>
    <row r="1" spans="27:29" ht="16.5">
      <c r="AA1" s="46"/>
      <c r="AB1" s="46"/>
      <c r="AC1" s="46"/>
    </row>
    <row r="2" spans="1:31" ht="78" customHeight="1">
      <c r="A2" s="33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ht="42" customHeight="1">
      <c r="A3" s="37" t="s">
        <v>0</v>
      </c>
      <c r="B3" s="38" t="s">
        <v>1</v>
      </c>
      <c r="C3" s="39"/>
      <c r="D3" s="39"/>
      <c r="E3" s="39"/>
      <c r="F3" s="40"/>
      <c r="G3" s="38" t="s">
        <v>17</v>
      </c>
      <c r="H3" s="39"/>
      <c r="I3" s="39"/>
      <c r="J3" s="39"/>
      <c r="K3" s="40"/>
      <c r="L3" s="38" t="s">
        <v>11</v>
      </c>
      <c r="M3" s="39"/>
      <c r="N3" s="39"/>
      <c r="O3" s="39"/>
      <c r="P3" s="40"/>
      <c r="Q3" s="34" t="s">
        <v>4</v>
      </c>
      <c r="R3" s="35"/>
      <c r="S3" s="35"/>
      <c r="T3" s="35"/>
      <c r="U3" s="36"/>
      <c r="V3" s="34" t="s">
        <v>13</v>
      </c>
      <c r="W3" s="35"/>
      <c r="X3" s="35"/>
      <c r="Y3" s="35"/>
      <c r="Z3" s="36"/>
      <c r="AA3" s="34" t="s">
        <v>5</v>
      </c>
      <c r="AB3" s="35"/>
      <c r="AC3" s="35"/>
      <c r="AD3" s="35"/>
      <c r="AE3" s="36"/>
    </row>
    <row r="4" spans="1:31" ht="90" customHeight="1">
      <c r="A4" s="37"/>
      <c r="B4" s="15" t="s">
        <v>2</v>
      </c>
      <c r="C4" s="14" t="s">
        <v>15</v>
      </c>
      <c r="D4" s="15" t="s">
        <v>3</v>
      </c>
      <c r="E4" s="14" t="s">
        <v>19</v>
      </c>
      <c r="F4" s="14" t="s">
        <v>20</v>
      </c>
      <c r="G4" s="15" t="s">
        <v>2</v>
      </c>
      <c r="H4" s="14" t="s">
        <v>15</v>
      </c>
      <c r="I4" s="15" t="s">
        <v>3</v>
      </c>
      <c r="J4" s="14" t="s">
        <v>19</v>
      </c>
      <c r="K4" s="14" t="s">
        <v>20</v>
      </c>
      <c r="L4" s="15" t="s">
        <v>2</v>
      </c>
      <c r="M4" s="14" t="s">
        <v>15</v>
      </c>
      <c r="N4" s="15" t="s">
        <v>3</v>
      </c>
      <c r="O4" s="14" t="s">
        <v>19</v>
      </c>
      <c r="P4" s="14" t="s">
        <v>20</v>
      </c>
      <c r="Q4" s="15" t="s">
        <v>2</v>
      </c>
      <c r="R4" s="14" t="s">
        <v>15</v>
      </c>
      <c r="S4" s="15" t="s">
        <v>3</v>
      </c>
      <c r="T4" s="14" t="s">
        <v>19</v>
      </c>
      <c r="U4" s="14" t="s">
        <v>20</v>
      </c>
      <c r="V4" s="15" t="s">
        <v>2</v>
      </c>
      <c r="W4" s="14" t="s">
        <v>15</v>
      </c>
      <c r="X4" s="15" t="s">
        <v>3</v>
      </c>
      <c r="Y4" s="14" t="s">
        <v>19</v>
      </c>
      <c r="Z4" s="14" t="s">
        <v>20</v>
      </c>
      <c r="AA4" s="15" t="s">
        <v>2</v>
      </c>
      <c r="AB4" s="14" t="s">
        <v>15</v>
      </c>
      <c r="AC4" s="15" t="s">
        <v>3</v>
      </c>
      <c r="AD4" s="14" t="s">
        <v>19</v>
      </c>
      <c r="AE4" s="14" t="s">
        <v>20</v>
      </c>
    </row>
    <row r="5" spans="1:31" ht="48" customHeight="1">
      <c r="A5" s="3" t="s">
        <v>6</v>
      </c>
      <c r="B5" s="32">
        <v>117194</v>
      </c>
      <c r="C5" s="32">
        <v>93209</v>
      </c>
      <c r="D5" s="4">
        <v>112475</v>
      </c>
      <c r="E5" s="4">
        <v>222488</v>
      </c>
      <c r="F5" s="28">
        <v>504544.89</v>
      </c>
      <c r="G5" s="29">
        <f>'[1]Xndzor'!$R$19/1000</f>
        <v>5859.675000000001</v>
      </c>
      <c r="H5" s="29">
        <f>'[1]Tsiran'!$R$19/1000</f>
        <v>4660.425000000002</v>
      </c>
      <c r="I5" s="29">
        <f>'[1]keras'!$R$19/1000</f>
        <v>4855.050000000002</v>
      </c>
      <c r="J5" s="29">
        <f>'[1]aznvamori'!$R$19/1000</f>
        <v>11124.399375000003</v>
      </c>
      <c r="K5" s="29">
        <f>'[1]tunelayin'!$R$19/1000</f>
        <v>25227.244374999995</v>
      </c>
      <c r="L5" s="2"/>
      <c r="M5" s="2"/>
      <c r="N5" s="2"/>
      <c r="O5" s="6">
        <f>15*5</f>
        <v>75</v>
      </c>
      <c r="P5" s="6">
        <f>25*5</f>
        <v>125</v>
      </c>
      <c r="Q5" s="2"/>
      <c r="R5" s="2"/>
      <c r="S5" s="2"/>
      <c r="T5" s="6">
        <v>1400</v>
      </c>
      <c r="U5" s="6">
        <v>1800</v>
      </c>
      <c r="V5" s="2"/>
      <c r="W5" s="2"/>
      <c r="X5" s="2"/>
      <c r="Y5" s="6">
        <f aca="true" t="shared" si="0" ref="Y5:Y10">O5*T5</f>
        <v>105000</v>
      </c>
      <c r="Z5" s="6">
        <f aca="true" t="shared" si="1" ref="Z5:Z10">P5*U5</f>
        <v>225000</v>
      </c>
      <c r="AA5" s="4">
        <f>V5-G5</f>
        <v>-5859.675000000001</v>
      </c>
      <c r="AB5" s="4">
        <f>W5-H5</f>
        <v>-4660.425000000002</v>
      </c>
      <c r="AC5" s="4">
        <f>X5-I5</f>
        <v>-4855.050000000002</v>
      </c>
      <c r="AD5" s="4">
        <f>(Y5-(J5))</f>
        <v>93875.60062499999</v>
      </c>
      <c r="AE5" s="4">
        <f>(Z5-(K5))</f>
        <v>199772.755625</v>
      </c>
    </row>
    <row r="6" spans="1:31" ht="34.5">
      <c r="A6" s="3" t="s">
        <v>7</v>
      </c>
      <c r="B6" s="4">
        <v>6475</v>
      </c>
      <c r="C6" s="4">
        <v>6475</v>
      </c>
      <c r="D6" s="4">
        <v>6000</v>
      </c>
      <c r="E6" s="4">
        <v>16530.9</v>
      </c>
      <c r="F6" s="28">
        <v>31005.94</v>
      </c>
      <c r="G6" s="29">
        <f>'[1]Xndzor'!$R$31/1000</f>
        <v>24944.3109375</v>
      </c>
      <c r="H6" s="29">
        <f>'[1]Tsiran'!$R$31/1000</f>
        <v>19839.1703125</v>
      </c>
      <c r="I6" s="29">
        <f>'[1]keras'!$R$31/1000</f>
        <v>20667.678125</v>
      </c>
      <c r="J6" s="29">
        <f>'[1]aznvamori'!$R$31/1000</f>
        <v>47355.9501171875</v>
      </c>
      <c r="K6" s="29">
        <f>'[1]tunelayin'!$R$31/1000</f>
        <v>107390.97779079863</v>
      </c>
      <c r="L6" s="6">
        <v>20</v>
      </c>
      <c r="M6" s="6">
        <v>20</v>
      </c>
      <c r="N6" s="6">
        <v>7</v>
      </c>
      <c r="O6" s="6">
        <f>17*5</f>
        <v>85</v>
      </c>
      <c r="P6" s="6">
        <f>30*5</f>
        <v>150</v>
      </c>
      <c r="Q6" s="6">
        <v>450</v>
      </c>
      <c r="R6" s="6">
        <v>500</v>
      </c>
      <c r="S6" s="6">
        <v>800</v>
      </c>
      <c r="T6" s="6">
        <v>1400</v>
      </c>
      <c r="U6" s="6">
        <v>1800</v>
      </c>
      <c r="V6" s="4">
        <f>L6*Q6</f>
        <v>9000</v>
      </c>
      <c r="W6" s="4">
        <v>10000</v>
      </c>
      <c r="X6" s="4">
        <f>N6*S6</f>
        <v>5600</v>
      </c>
      <c r="Y6" s="6">
        <f t="shared" si="0"/>
        <v>119000</v>
      </c>
      <c r="Z6" s="6">
        <f t="shared" si="1"/>
        <v>270000</v>
      </c>
      <c r="AA6" s="4">
        <f>V6-(B6+G6)</f>
        <v>-22419.3109375</v>
      </c>
      <c r="AB6" s="4">
        <f>W6-(C6+H6)</f>
        <v>-16314.170312499999</v>
      </c>
      <c r="AC6" s="4">
        <f>X6-(D6+I6)</f>
        <v>-21067.678125</v>
      </c>
      <c r="AD6" s="4">
        <f>Y6-(E6+J6)</f>
        <v>55113.1498828125</v>
      </c>
      <c r="AE6" s="4">
        <f>Z6-(F6+K6)</f>
        <v>131603.08220920138</v>
      </c>
    </row>
    <row r="7" spans="1:31" ht="34.5">
      <c r="A7" s="3" t="s">
        <v>8</v>
      </c>
      <c r="B7" s="4">
        <v>7470</v>
      </c>
      <c r="C7" s="4">
        <v>7400</v>
      </c>
      <c r="D7" s="4">
        <v>6570</v>
      </c>
      <c r="E7" s="4">
        <v>16530.9</v>
      </c>
      <c r="F7" s="28">
        <v>31005.94</v>
      </c>
      <c r="G7" s="29">
        <f>'[1]Xndzor'!$R$43/1000</f>
        <v>23967.6984375</v>
      </c>
      <c r="H7" s="29">
        <f>'[1]Tsiran'!$R$43/1000</f>
        <v>19062.4328125</v>
      </c>
      <c r="I7" s="29">
        <f>'[1]keras'!$R$43/1000</f>
        <v>19858.503125</v>
      </c>
      <c r="J7" s="29">
        <f>'[1]aznvamori'!$R$43/1000</f>
        <v>45501.8835546875</v>
      </c>
      <c r="K7" s="29">
        <f>'[1]tunelayin'!$R$43/1000</f>
        <v>103186.437061632</v>
      </c>
      <c r="L7" s="6">
        <v>45</v>
      </c>
      <c r="M7" s="6">
        <v>40</v>
      </c>
      <c r="N7" s="6">
        <v>15</v>
      </c>
      <c r="O7" s="6">
        <f>17*5</f>
        <v>85</v>
      </c>
      <c r="P7" s="6">
        <f>30*5</f>
        <v>150</v>
      </c>
      <c r="Q7" s="6">
        <v>450</v>
      </c>
      <c r="R7" s="6">
        <v>500</v>
      </c>
      <c r="S7" s="6">
        <v>700</v>
      </c>
      <c r="T7" s="6">
        <v>1400</v>
      </c>
      <c r="U7" s="6">
        <v>1800</v>
      </c>
      <c r="V7" s="4">
        <f>L7*Q7</f>
        <v>20250</v>
      </c>
      <c r="W7" s="4">
        <v>20000</v>
      </c>
      <c r="X7" s="4">
        <f>N7*S7</f>
        <v>10500</v>
      </c>
      <c r="Y7" s="6">
        <f t="shared" si="0"/>
        <v>119000</v>
      </c>
      <c r="Z7" s="6">
        <f t="shared" si="1"/>
        <v>270000</v>
      </c>
      <c r="AA7" s="4">
        <f>V7-(B7+G7+(G6/4))</f>
        <v>-17423.776171874997</v>
      </c>
      <c r="AB7" s="4">
        <f aca="true" t="shared" si="2" ref="AB7:AE10">W7-(C7+H7)</f>
        <v>-6462.432812499999</v>
      </c>
      <c r="AC7" s="4">
        <f t="shared" si="2"/>
        <v>-15928.503125</v>
      </c>
      <c r="AD7" s="4">
        <f t="shared" si="2"/>
        <v>56967.2164453125</v>
      </c>
      <c r="AE7" s="4">
        <f t="shared" si="2"/>
        <v>135807.622938368</v>
      </c>
    </row>
    <row r="8" spans="1:31" ht="34.5">
      <c r="A8" s="3" t="s">
        <v>9</v>
      </c>
      <c r="B8" s="4">
        <v>8970</v>
      </c>
      <c r="C8" s="4">
        <v>8970</v>
      </c>
      <c r="D8" s="4">
        <v>7970</v>
      </c>
      <c r="E8" s="4">
        <v>16530.9</v>
      </c>
      <c r="F8" s="28">
        <v>31005.94</v>
      </c>
      <c r="G8" s="29">
        <f>'[1]Xndzor'!$R$55/1000</f>
        <v>22991.0859375</v>
      </c>
      <c r="H8" s="29">
        <f>'[1]Tsiran'!$R$55/1000</f>
        <v>18285.6953125</v>
      </c>
      <c r="I8" s="29">
        <f>'[1]keras'!$R$55/1000</f>
        <v>19049.328125</v>
      </c>
      <c r="J8" s="29">
        <f>'[1]aznvamori'!$R$55/1000</f>
        <v>43647.8169921875</v>
      </c>
      <c r="K8" s="29">
        <f>'[1]tunelayin'!$R$55/1000</f>
        <v>98981.89633246532</v>
      </c>
      <c r="L8" s="6">
        <v>100</v>
      </c>
      <c r="M8" s="6">
        <v>70</v>
      </c>
      <c r="N8" s="6">
        <v>45</v>
      </c>
      <c r="O8" s="6">
        <f>17*5</f>
        <v>85</v>
      </c>
      <c r="P8" s="6">
        <f>30*5</f>
        <v>150</v>
      </c>
      <c r="Q8" s="6">
        <v>450</v>
      </c>
      <c r="R8" s="6">
        <v>500</v>
      </c>
      <c r="S8" s="6">
        <v>700</v>
      </c>
      <c r="T8" s="6">
        <v>1400</v>
      </c>
      <c r="U8" s="6">
        <v>1800</v>
      </c>
      <c r="V8" s="4">
        <f>L8*Q8</f>
        <v>45000</v>
      </c>
      <c r="W8" s="4">
        <v>35000</v>
      </c>
      <c r="X8" s="4">
        <f>N8*S8</f>
        <v>31500</v>
      </c>
      <c r="Y8" s="6">
        <f t="shared" si="0"/>
        <v>119000</v>
      </c>
      <c r="Z8" s="6">
        <f t="shared" si="1"/>
        <v>270000</v>
      </c>
      <c r="AA8" s="4">
        <f>V8-(B8+G8+(G7/4))</f>
        <v>7046.989453125003</v>
      </c>
      <c r="AB8" s="4">
        <f t="shared" si="2"/>
        <v>7744.3046875</v>
      </c>
      <c r="AC8" s="4">
        <f t="shared" si="2"/>
        <v>4480.671875</v>
      </c>
      <c r="AD8" s="4">
        <f t="shared" si="2"/>
        <v>58821.2830078125</v>
      </c>
      <c r="AE8" s="4">
        <f t="shared" si="2"/>
        <v>140012.16366753468</v>
      </c>
    </row>
    <row r="9" spans="1:31" ht="34.5">
      <c r="A9" s="3" t="s">
        <v>10</v>
      </c>
      <c r="B9" s="4">
        <v>11450</v>
      </c>
      <c r="C9" s="4">
        <v>10450</v>
      </c>
      <c r="D9" s="4">
        <v>9450</v>
      </c>
      <c r="E9" s="4">
        <v>16530.9</v>
      </c>
      <c r="F9" s="28">
        <v>31005.94</v>
      </c>
      <c r="G9" s="29">
        <f>'[1]Xndzor'!$R$67/1000</f>
        <v>22014.4734375</v>
      </c>
      <c r="H9" s="29">
        <f>'[1]Tsiran'!$R$67/1000</f>
        <v>17508.9578125</v>
      </c>
      <c r="I9" s="29">
        <f>'[1]keras'!$R$67/1000</f>
        <v>18240.153125</v>
      </c>
      <c r="J9" s="29">
        <f>'[1]aznvamori'!$R$67/1000</f>
        <v>41793.7504296875</v>
      </c>
      <c r="K9" s="29">
        <f>'[1]tunelayin'!$R$67/1000</f>
        <v>94777.35560329865</v>
      </c>
      <c r="L9" s="6">
        <v>240</v>
      </c>
      <c r="M9" s="6">
        <v>130</v>
      </c>
      <c r="N9" s="6">
        <v>85</v>
      </c>
      <c r="O9" s="6">
        <f>17*5</f>
        <v>85</v>
      </c>
      <c r="P9" s="6">
        <f>30*5</f>
        <v>150</v>
      </c>
      <c r="Q9" s="6">
        <v>450</v>
      </c>
      <c r="R9" s="6">
        <v>500</v>
      </c>
      <c r="S9" s="6">
        <v>700</v>
      </c>
      <c r="T9" s="6">
        <v>1400</v>
      </c>
      <c r="U9" s="6">
        <v>1800</v>
      </c>
      <c r="V9" s="4">
        <f>L9*Q9</f>
        <v>108000</v>
      </c>
      <c r="W9" s="4">
        <v>65000</v>
      </c>
      <c r="X9" s="4">
        <f>N9*S9</f>
        <v>59500</v>
      </c>
      <c r="Y9" s="6">
        <f t="shared" si="0"/>
        <v>119000</v>
      </c>
      <c r="Z9" s="6">
        <f t="shared" si="1"/>
        <v>270000</v>
      </c>
      <c r="AA9" s="4">
        <f>V9-(B9+G9+(G8/4))</f>
        <v>68787.755078125</v>
      </c>
      <c r="AB9" s="4">
        <f t="shared" si="2"/>
        <v>37041.0421875</v>
      </c>
      <c r="AC9" s="4">
        <f t="shared" si="2"/>
        <v>31809.846875</v>
      </c>
      <c r="AD9" s="4">
        <f t="shared" si="2"/>
        <v>60675.3495703125</v>
      </c>
      <c r="AE9" s="4">
        <f t="shared" si="2"/>
        <v>144216.70439670136</v>
      </c>
    </row>
    <row r="10" spans="1:31" ht="33" customHeight="1">
      <c r="A10" s="13" t="s">
        <v>16</v>
      </c>
      <c r="B10" s="10">
        <v>12000</v>
      </c>
      <c r="C10" s="10">
        <v>11000</v>
      </c>
      <c r="D10" s="10">
        <v>10200</v>
      </c>
      <c r="E10" s="4">
        <v>16530.9</v>
      </c>
      <c r="F10" s="28">
        <v>31005.94</v>
      </c>
      <c r="G10" s="30">
        <f>'[1]Xndzor'!$R$79/1000</f>
        <v>21037.8609375</v>
      </c>
      <c r="H10" s="30">
        <f>'[1]Tsiran'!$R$79/1000</f>
        <v>16732.2203125</v>
      </c>
      <c r="I10" s="30">
        <f>'[1]keras'!$R$79/1000</f>
        <v>17430.978125</v>
      </c>
      <c r="J10" s="30">
        <f>'[1]aznvamori'!$R$79/1000</f>
        <v>39939.6838671875</v>
      </c>
      <c r="K10" s="30">
        <f>'[1]tunelayin'!$R$79/1000</f>
        <v>90572.81487413197</v>
      </c>
      <c r="L10" s="11">
        <v>260</v>
      </c>
      <c r="M10" s="11">
        <v>150</v>
      </c>
      <c r="N10" s="11">
        <v>90</v>
      </c>
      <c r="O10" s="15">
        <f>17*5</f>
        <v>85</v>
      </c>
      <c r="P10" s="15">
        <f>30*5</f>
        <v>150</v>
      </c>
      <c r="Q10" s="11">
        <v>450</v>
      </c>
      <c r="R10" s="11">
        <v>500</v>
      </c>
      <c r="S10" s="15">
        <v>700</v>
      </c>
      <c r="T10" s="15">
        <v>1400</v>
      </c>
      <c r="U10" s="15">
        <v>1800</v>
      </c>
      <c r="V10" s="12">
        <f>Q10*L10</f>
        <v>117000</v>
      </c>
      <c r="W10" s="12">
        <f>R10*M10</f>
        <v>75000</v>
      </c>
      <c r="X10" s="12">
        <f>S10*N10</f>
        <v>63000</v>
      </c>
      <c r="Y10" s="15">
        <f t="shared" si="0"/>
        <v>119000</v>
      </c>
      <c r="Z10" s="15">
        <f t="shared" si="1"/>
        <v>270000</v>
      </c>
      <c r="AA10" s="4">
        <f>V10-(B10+G10+(G9/4))</f>
        <v>78458.52070312499</v>
      </c>
      <c r="AB10" s="4">
        <f t="shared" si="2"/>
        <v>47267.7796875</v>
      </c>
      <c r="AC10" s="4">
        <f t="shared" si="2"/>
        <v>35369.021875</v>
      </c>
      <c r="AD10" s="4">
        <f t="shared" si="2"/>
        <v>62529.4161328125</v>
      </c>
      <c r="AE10" s="4">
        <f t="shared" si="2"/>
        <v>148421.245125868</v>
      </c>
    </row>
    <row r="11" spans="1:31" s="5" customFormat="1" ht="33">
      <c r="A11" s="7" t="s">
        <v>14</v>
      </c>
      <c r="B11" s="8">
        <f aca="true" t="shared" si="3" ref="B11:K11">SUM(B5:B10)</f>
        <v>163559</v>
      </c>
      <c r="C11" s="8">
        <f t="shared" si="3"/>
        <v>137504</v>
      </c>
      <c r="D11" s="8">
        <f t="shared" si="3"/>
        <v>152665</v>
      </c>
      <c r="E11" s="8">
        <f t="shared" si="3"/>
        <v>305142.50000000006</v>
      </c>
      <c r="F11" s="8">
        <f t="shared" si="3"/>
        <v>659574.5899999997</v>
      </c>
      <c r="G11" s="31">
        <f t="shared" si="3"/>
        <v>120815.10468749999</v>
      </c>
      <c r="H11" s="31">
        <f t="shared" si="3"/>
        <v>96088.90156249999</v>
      </c>
      <c r="I11" s="8">
        <f t="shared" si="3"/>
        <v>100101.69062499999</v>
      </c>
      <c r="J11" s="8">
        <f t="shared" si="3"/>
        <v>229363.4843359375</v>
      </c>
      <c r="K11" s="8">
        <f t="shared" si="3"/>
        <v>520136.72603732656</v>
      </c>
      <c r="L11" s="9"/>
      <c r="M11" s="9"/>
      <c r="N11" s="9"/>
      <c r="O11" s="9"/>
      <c r="P11" s="9"/>
      <c r="Q11" s="9"/>
      <c r="R11" s="9"/>
      <c r="S11" s="6"/>
      <c r="T11" s="6"/>
      <c r="U11" s="6"/>
      <c r="V11" s="8">
        <f aca="true" t="shared" si="4" ref="V11:AE11">SUM(V5:V10)</f>
        <v>299250</v>
      </c>
      <c r="W11" s="8">
        <f t="shared" si="4"/>
        <v>205000</v>
      </c>
      <c r="X11" s="8">
        <f t="shared" si="4"/>
        <v>170100</v>
      </c>
      <c r="Y11" s="8">
        <f t="shared" si="4"/>
        <v>700000</v>
      </c>
      <c r="Z11" s="8">
        <f t="shared" si="4"/>
        <v>1575000</v>
      </c>
      <c r="AA11" s="8">
        <f t="shared" si="4"/>
        <v>108590.50312499999</v>
      </c>
      <c r="AB11" s="8">
        <f t="shared" si="4"/>
        <v>64616.0984375</v>
      </c>
      <c r="AC11" s="8">
        <f t="shared" si="4"/>
        <v>29808.309375</v>
      </c>
      <c r="AD11" s="8">
        <f t="shared" si="4"/>
        <v>387982.01566406246</v>
      </c>
      <c r="AE11" s="8">
        <f t="shared" si="4"/>
        <v>899833.5739626734</v>
      </c>
    </row>
    <row r="13" spans="1:11" ht="16.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mergeCells count="9">
    <mergeCell ref="A2:AE2"/>
    <mergeCell ref="A3:A4"/>
    <mergeCell ref="B3:F3"/>
    <mergeCell ref="G3:K3"/>
    <mergeCell ref="L3:P3"/>
    <mergeCell ref="Q3:U3"/>
    <mergeCell ref="V3:Z3"/>
    <mergeCell ref="AA3:AE3"/>
    <mergeCell ref="AA1:AC1"/>
  </mergeCells>
  <printOptions/>
  <pageMargins left="0.44" right="0.2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4" sqref="A1:E16384"/>
    </sheetView>
  </sheetViews>
  <sheetFormatPr defaultColWidth="9.140625" defaultRowHeight="15"/>
  <cols>
    <col min="1" max="1" width="22.421875" style="0" customWidth="1"/>
    <col min="2" max="2" width="9.7109375" style="0" customWidth="1"/>
    <col min="3" max="3" width="14.7109375" style="0" customWidth="1"/>
    <col min="4" max="4" width="13.8515625" style="0" customWidth="1"/>
    <col min="5" max="5" width="19.8515625" style="0" customWidth="1"/>
    <col min="6" max="6" width="14.140625" style="0" customWidth="1"/>
  </cols>
  <sheetData>
    <row r="1" spans="1:5" ht="35.25" customHeight="1">
      <c r="A1" s="41" t="s">
        <v>53</v>
      </c>
      <c r="B1" s="42"/>
      <c r="C1" s="42"/>
      <c r="D1" s="42"/>
      <c r="E1" s="43"/>
    </row>
    <row r="2" spans="1:5" ht="35.25" customHeight="1">
      <c r="A2" s="44" t="s">
        <v>41</v>
      </c>
      <c r="B2" s="45" t="s">
        <v>42</v>
      </c>
      <c r="C2" s="45" t="s">
        <v>43</v>
      </c>
      <c r="D2" s="21" t="s">
        <v>44</v>
      </c>
      <c r="E2" s="21" t="s">
        <v>46</v>
      </c>
    </row>
    <row r="3" spans="1:5" ht="15">
      <c r="A3" s="44"/>
      <c r="B3" s="45"/>
      <c r="C3" s="45"/>
      <c r="D3" s="21" t="s">
        <v>45</v>
      </c>
      <c r="E3" s="21" t="s">
        <v>47</v>
      </c>
    </row>
    <row r="4" spans="1:5" ht="16.5">
      <c r="A4" s="16" t="s">
        <v>21</v>
      </c>
      <c r="B4" s="17" t="s">
        <v>22</v>
      </c>
      <c r="C4" s="17">
        <v>5</v>
      </c>
      <c r="D4" s="17">
        <v>40000</v>
      </c>
      <c r="E4" s="23">
        <f>C4*D4/1000</f>
        <v>200</v>
      </c>
    </row>
    <row r="5" spans="1:5" ht="16.5">
      <c r="A5" s="16" t="s">
        <v>23</v>
      </c>
      <c r="B5" s="17" t="s">
        <v>22</v>
      </c>
      <c r="C5" s="17">
        <v>5</v>
      </c>
      <c r="D5" s="17">
        <v>25000</v>
      </c>
      <c r="E5" s="23">
        <f aca="true" t="shared" si="0" ref="E5:E16">C5*D5/1000</f>
        <v>125</v>
      </c>
    </row>
    <row r="6" spans="1:5" ht="16.5">
      <c r="A6" s="18" t="s">
        <v>24</v>
      </c>
      <c r="B6" s="19" t="s">
        <v>22</v>
      </c>
      <c r="C6" s="19">
        <v>5</v>
      </c>
      <c r="D6" s="19">
        <v>120000</v>
      </c>
      <c r="E6" s="23">
        <f t="shared" si="0"/>
        <v>600</v>
      </c>
    </row>
    <row r="7" spans="1:8" ht="33">
      <c r="A7" s="18" t="s">
        <v>25</v>
      </c>
      <c r="B7" s="19" t="s">
        <v>22</v>
      </c>
      <c r="C7" s="19">
        <v>5</v>
      </c>
      <c r="D7" s="19">
        <v>100000</v>
      </c>
      <c r="E7" s="23">
        <f t="shared" si="0"/>
        <v>500</v>
      </c>
      <c r="H7" s="20"/>
    </row>
    <row r="8" spans="1:5" ht="16.5">
      <c r="A8" s="16" t="s">
        <v>26</v>
      </c>
      <c r="B8" s="17" t="s">
        <v>27</v>
      </c>
      <c r="C8" s="17">
        <f>8800*5</f>
        <v>44000</v>
      </c>
      <c r="D8" s="17">
        <v>1100</v>
      </c>
      <c r="E8" s="23">
        <f t="shared" si="0"/>
        <v>48400</v>
      </c>
    </row>
    <row r="9" spans="1:5" ht="49.5">
      <c r="A9" s="16" t="s">
        <v>48</v>
      </c>
      <c r="B9" s="17" t="s">
        <v>36</v>
      </c>
      <c r="C9" s="17">
        <f>26400*5</f>
        <v>132000</v>
      </c>
      <c r="D9" s="17">
        <f>408</f>
        <v>408</v>
      </c>
      <c r="E9" s="23">
        <f t="shared" si="0"/>
        <v>53856</v>
      </c>
    </row>
    <row r="10" spans="1:5" ht="49.5">
      <c r="A10" s="16" t="s">
        <v>28</v>
      </c>
      <c r="B10" s="17" t="s">
        <v>29</v>
      </c>
      <c r="C10" s="17">
        <f>44*5</f>
        <v>220</v>
      </c>
      <c r="D10" s="17">
        <v>24000</v>
      </c>
      <c r="E10" s="23">
        <f t="shared" si="0"/>
        <v>5280</v>
      </c>
    </row>
    <row r="11" spans="1:5" ht="33">
      <c r="A11" s="16" t="s">
        <v>30</v>
      </c>
      <c r="B11" s="17" t="s">
        <v>22</v>
      </c>
      <c r="C11" s="17">
        <v>5</v>
      </c>
      <c r="D11" s="17">
        <v>3840000</v>
      </c>
      <c r="E11" s="23">
        <f t="shared" si="0"/>
        <v>19200</v>
      </c>
    </row>
    <row r="12" spans="1:5" ht="17.25">
      <c r="A12" s="18" t="s">
        <v>31</v>
      </c>
      <c r="B12" s="19" t="s">
        <v>32</v>
      </c>
      <c r="C12" s="19">
        <f>2.25*5</f>
        <v>11.25</v>
      </c>
      <c r="D12" s="19">
        <v>11000</v>
      </c>
      <c r="E12" s="23">
        <f t="shared" si="0"/>
        <v>123.75</v>
      </c>
    </row>
    <row r="13" spans="1:5" ht="33">
      <c r="A13" s="16" t="s">
        <v>33</v>
      </c>
      <c r="B13" s="17" t="s">
        <v>34</v>
      </c>
      <c r="C13" s="17">
        <f>4400*5</f>
        <v>22000</v>
      </c>
      <c r="D13" s="17">
        <v>480</v>
      </c>
      <c r="E13" s="23">
        <f t="shared" si="0"/>
        <v>10560</v>
      </c>
    </row>
    <row r="14" spans="1:5" ht="66">
      <c r="A14" s="16" t="s">
        <v>35</v>
      </c>
      <c r="B14" s="17" t="s">
        <v>22</v>
      </c>
      <c r="C14" s="17">
        <v>5</v>
      </c>
      <c r="D14" s="17">
        <v>200000</v>
      </c>
      <c r="E14" s="23">
        <f t="shared" si="0"/>
        <v>1000</v>
      </c>
    </row>
    <row r="15" spans="1:5" ht="49.5">
      <c r="A15" s="16" t="s">
        <v>50</v>
      </c>
      <c r="B15" s="17" t="s">
        <v>36</v>
      </c>
      <c r="C15" s="17">
        <f>450*5</f>
        <v>2250</v>
      </c>
      <c r="D15" s="17">
        <v>800</v>
      </c>
      <c r="E15" s="23">
        <f t="shared" si="0"/>
        <v>1800</v>
      </c>
    </row>
    <row r="16" spans="1:5" ht="33">
      <c r="A16" s="16" t="s">
        <v>37</v>
      </c>
      <c r="B16" s="17" t="s">
        <v>36</v>
      </c>
      <c r="C16" s="17">
        <f>200*5</f>
        <v>1000</v>
      </c>
      <c r="D16" s="17">
        <v>320</v>
      </c>
      <c r="E16" s="23">
        <f t="shared" si="0"/>
        <v>320</v>
      </c>
    </row>
    <row r="17" spans="1:5" ht="16.5">
      <c r="A17" s="18" t="s">
        <v>51</v>
      </c>
      <c r="B17" s="19" t="s">
        <v>36</v>
      </c>
      <c r="C17" s="19">
        <f>15000*5</f>
        <v>75000</v>
      </c>
      <c r="D17" s="19">
        <v>100</v>
      </c>
      <c r="E17" s="22">
        <f>C17*D17/1000</f>
        <v>7500</v>
      </c>
    </row>
    <row r="18" spans="1:5" ht="16.5">
      <c r="A18" s="18" t="s">
        <v>60</v>
      </c>
      <c r="B18" s="19" t="s">
        <v>61</v>
      </c>
      <c r="C18" s="19" t="s">
        <v>63</v>
      </c>
      <c r="D18" s="19">
        <v>4000</v>
      </c>
      <c r="E18" s="22">
        <f>5*140*D18/1000</f>
        <v>2800</v>
      </c>
    </row>
    <row r="19" spans="1:5" ht="49.5">
      <c r="A19" s="16" t="s">
        <v>38</v>
      </c>
      <c r="B19" s="17" t="s">
        <v>22</v>
      </c>
      <c r="C19" s="17">
        <v>5</v>
      </c>
      <c r="D19" s="17"/>
      <c r="E19" s="24">
        <f>SUM(E4:E17)*0.05</f>
        <v>7473.2375</v>
      </c>
    </row>
    <row r="20" spans="1:9" ht="82.5">
      <c r="A20" s="18" t="s">
        <v>49</v>
      </c>
      <c r="B20" s="19" t="s">
        <v>22</v>
      </c>
      <c r="C20" s="19">
        <v>5</v>
      </c>
      <c r="D20" s="19">
        <v>5000000</v>
      </c>
      <c r="E20" s="22">
        <f>C20*D20/1000</f>
        <v>25000</v>
      </c>
      <c r="I20" t="s">
        <v>18</v>
      </c>
    </row>
    <row r="21" spans="1:5" ht="49.5">
      <c r="A21" s="18" t="s">
        <v>40</v>
      </c>
      <c r="B21" s="19" t="s">
        <v>22</v>
      </c>
      <c r="C21" s="19">
        <v>5</v>
      </c>
      <c r="D21" s="19">
        <v>7550000</v>
      </c>
      <c r="E21" s="22">
        <f>C21*D21/1000</f>
        <v>37750</v>
      </c>
    </row>
    <row r="22" spans="1:5" ht="61.5" customHeight="1">
      <c r="A22" s="25" t="s">
        <v>39</v>
      </c>
      <c r="B22" s="26"/>
      <c r="C22" s="26"/>
      <c r="D22" s="26"/>
      <c r="E22" s="27">
        <f>SUM(E4:E21)</f>
        <v>222487.9875</v>
      </c>
    </row>
  </sheetData>
  <sheetProtection/>
  <mergeCells count="4">
    <mergeCell ref="A1:E1"/>
    <mergeCell ref="A2:A3"/>
    <mergeCell ref="B2:B3"/>
    <mergeCell ref="C2:C3"/>
  </mergeCells>
  <printOptions/>
  <pageMargins left="0.7" right="0.7" top="0.75" bottom="0.75" header="0.3" footer="0.3"/>
  <pageSetup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22.421875" style="0" customWidth="1"/>
    <col min="2" max="2" width="9.7109375" style="0" customWidth="1"/>
    <col min="3" max="3" width="14.7109375" style="0" customWidth="1"/>
    <col min="4" max="4" width="13.8515625" style="0" customWidth="1"/>
    <col min="5" max="5" width="19.8515625" style="0" customWidth="1"/>
    <col min="6" max="6" width="14.140625" style="0" customWidth="1"/>
  </cols>
  <sheetData>
    <row r="1" spans="1:5" ht="35.25" customHeight="1">
      <c r="A1" s="41" t="s">
        <v>54</v>
      </c>
      <c r="B1" s="42"/>
      <c r="C1" s="42"/>
      <c r="D1" s="42"/>
      <c r="E1" s="43"/>
    </row>
    <row r="2" spans="1:5" ht="35.25" customHeight="1">
      <c r="A2" s="44" t="s">
        <v>41</v>
      </c>
      <c r="B2" s="45" t="s">
        <v>42</v>
      </c>
      <c r="C2" s="45" t="s">
        <v>43</v>
      </c>
      <c r="D2" s="21" t="s">
        <v>44</v>
      </c>
      <c r="E2" s="21" t="s">
        <v>46</v>
      </c>
    </row>
    <row r="3" spans="1:5" ht="15">
      <c r="A3" s="44"/>
      <c r="B3" s="45"/>
      <c r="C3" s="45"/>
      <c r="D3" s="21" t="s">
        <v>45</v>
      </c>
      <c r="E3" s="21" t="s">
        <v>47</v>
      </c>
    </row>
    <row r="4" spans="1:5" ht="16.5">
      <c r="A4" s="16" t="s">
        <v>21</v>
      </c>
      <c r="B4" s="17" t="s">
        <v>22</v>
      </c>
      <c r="C4" s="17">
        <v>2.5</v>
      </c>
      <c r="D4" s="17">
        <v>40000</v>
      </c>
      <c r="E4" s="23">
        <f>C4*D4/1000</f>
        <v>100</v>
      </c>
    </row>
    <row r="5" spans="1:5" ht="16.5">
      <c r="A5" s="16" t="s">
        <v>23</v>
      </c>
      <c r="B5" s="17" t="s">
        <v>22</v>
      </c>
      <c r="C5" s="17">
        <v>2.5</v>
      </c>
      <c r="D5" s="17">
        <v>25000</v>
      </c>
      <c r="E5" s="23">
        <f aca="true" t="shared" si="0" ref="E5:E16">C5*D5/1000</f>
        <v>62.5</v>
      </c>
    </row>
    <row r="6" spans="1:5" ht="16.5">
      <c r="A6" s="18" t="s">
        <v>24</v>
      </c>
      <c r="B6" s="19" t="s">
        <v>22</v>
      </c>
      <c r="C6" s="19">
        <v>2.5</v>
      </c>
      <c r="D6" s="19">
        <v>120000</v>
      </c>
      <c r="E6" s="23">
        <f t="shared" si="0"/>
        <v>300</v>
      </c>
    </row>
    <row r="7" spans="1:8" ht="33">
      <c r="A7" s="18" t="s">
        <v>25</v>
      </c>
      <c r="B7" s="19" t="s">
        <v>22</v>
      </c>
      <c r="C7" s="19">
        <v>2.5</v>
      </c>
      <c r="D7" s="19">
        <v>100000</v>
      </c>
      <c r="E7" s="23">
        <f t="shared" si="0"/>
        <v>250</v>
      </c>
      <c r="H7" s="20"/>
    </row>
    <row r="8" spans="1:5" ht="16.5">
      <c r="A8" s="16" t="s">
        <v>26</v>
      </c>
      <c r="B8" s="17" t="s">
        <v>27</v>
      </c>
      <c r="C8" s="17">
        <f>8800*2.5</f>
        <v>22000</v>
      </c>
      <c r="D8" s="17">
        <v>1100</v>
      </c>
      <c r="E8" s="23">
        <f t="shared" si="0"/>
        <v>24200</v>
      </c>
    </row>
    <row r="9" spans="1:5" ht="49.5">
      <c r="A9" s="16" t="s">
        <v>48</v>
      </c>
      <c r="B9" s="17" t="s">
        <v>36</v>
      </c>
      <c r="C9" s="17">
        <f>39600*2.5</f>
        <v>99000</v>
      </c>
      <c r="D9" s="17">
        <f>408</f>
        <v>408</v>
      </c>
      <c r="E9" s="23">
        <f t="shared" si="0"/>
        <v>40392</v>
      </c>
    </row>
    <row r="10" spans="1:5" ht="49.5">
      <c r="A10" s="16" t="s">
        <v>28</v>
      </c>
      <c r="B10" s="17" t="s">
        <v>29</v>
      </c>
      <c r="C10" s="17">
        <f>44*2.5</f>
        <v>110</v>
      </c>
      <c r="D10" s="17">
        <v>24000</v>
      </c>
      <c r="E10" s="23">
        <f t="shared" si="0"/>
        <v>2640</v>
      </c>
    </row>
    <row r="11" spans="1:5" ht="33">
      <c r="A11" s="16" t="s">
        <v>30</v>
      </c>
      <c r="B11" s="17" t="s">
        <v>22</v>
      </c>
      <c r="C11" s="17">
        <v>2.5</v>
      </c>
      <c r="D11" s="17">
        <v>3840000</v>
      </c>
      <c r="E11" s="23">
        <f t="shared" si="0"/>
        <v>9600</v>
      </c>
    </row>
    <row r="12" spans="1:5" ht="17.25">
      <c r="A12" s="18" t="s">
        <v>31</v>
      </c>
      <c r="B12" s="19" t="s">
        <v>32</v>
      </c>
      <c r="C12" s="19">
        <f>2.25*2.5</f>
        <v>5.625</v>
      </c>
      <c r="D12" s="19">
        <v>11000</v>
      </c>
      <c r="E12" s="23">
        <f t="shared" si="0"/>
        <v>61.875</v>
      </c>
    </row>
    <row r="13" spans="1:5" ht="33">
      <c r="A13" s="16" t="s">
        <v>33</v>
      </c>
      <c r="B13" s="17" t="s">
        <v>34</v>
      </c>
      <c r="C13" s="17">
        <f>4400*2.5</f>
        <v>11000</v>
      </c>
      <c r="D13" s="17">
        <v>480</v>
      </c>
      <c r="E13" s="23">
        <f t="shared" si="0"/>
        <v>5280</v>
      </c>
    </row>
    <row r="14" spans="1:5" ht="66">
      <c r="A14" s="16" t="s">
        <v>35</v>
      </c>
      <c r="B14" s="17" t="s">
        <v>22</v>
      </c>
      <c r="C14" s="17">
        <v>2.5</v>
      </c>
      <c r="D14" s="17">
        <v>200000</v>
      </c>
      <c r="E14" s="23">
        <f t="shared" si="0"/>
        <v>500</v>
      </c>
    </row>
    <row r="15" spans="1:5" ht="49.5">
      <c r="A15" s="16" t="s">
        <v>50</v>
      </c>
      <c r="B15" s="17" t="s">
        <v>36</v>
      </c>
      <c r="C15" s="17">
        <f>450*2.5</f>
        <v>1125</v>
      </c>
      <c r="D15" s="17">
        <v>800</v>
      </c>
      <c r="E15" s="23">
        <f t="shared" si="0"/>
        <v>900</v>
      </c>
    </row>
    <row r="16" spans="1:5" ht="33">
      <c r="A16" s="16" t="s">
        <v>37</v>
      </c>
      <c r="B16" s="17" t="s">
        <v>36</v>
      </c>
      <c r="C16" s="17">
        <f>200*2.5</f>
        <v>500</v>
      </c>
      <c r="D16" s="17">
        <v>320</v>
      </c>
      <c r="E16" s="23">
        <f t="shared" si="0"/>
        <v>160</v>
      </c>
    </row>
    <row r="17" spans="1:5" ht="16.5">
      <c r="A17" s="18" t="s">
        <v>51</v>
      </c>
      <c r="B17" s="19" t="s">
        <v>36</v>
      </c>
      <c r="C17" s="19">
        <f>25000*2.55</f>
        <v>63749.99999999999</v>
      </c>
      <c r="D17" s="19">
        <v>100</v>
      </c>
      <c r="E17" s="22">
        <f>C17*D17/1000</f>
        <v>6374.999999999999</v>
      </c>
    </row>
    <row r="18" spans="1:5" ht="16.5">
      <c r="A18" s="18" t="s">
        <v>60</v>
      </c>
      <c r="B18" s="19" t="s">
        <v>61</v>
      </c>
      <c r="C18" s="19" t="s">
        <v>64</v>
      </c>
      <c r="D18" s="19">
        <v>4000</v>
      </c>
      <c r="E18" s="22">
        <f>5*210*D18/1000</f>
        <v>4200</v>
      </c>
    </row>
    <row r="19" spans="1:5" ht="49.5">
      <c r="A19" s="16" t="s">
        <v>38</v>
      </c>
      <c r="B19" s="17" t="s">
        <v>22</v>
      </c>
      <c r="C19" s="17">
        <v>2.5</v>
      </c>
      <c r="D19" s="17"/>
      <c r="E19" s="24">
        <f>SUM(E4:E18)*0.05</f>
        <v>4751.06875</v>
      </c>
    </row>
    <row r="20" spans="1:5" ht="82.5">
      <c r="A20" s="18" t="s">
        <v>49</v>
      </c>
      <c r="B20" s="19" t="s">
        <v>22</v>
      </c>
      <c r="C20" s="19">
        <v>2.5</v>
      </c>
      <c r="D20" s="19">
        <v>5000000</v>
      </c>
      <c r="E20" s="22">
        <f>C20*D20/1000</f>
        <v>12500</v>
      </c>
    </row>
    <row r="21" spans="1:5" ht="33">
      <c r="A21" s="18" t="s">
        <v>52</v>
      </c>
      <c r="B21" s="19" t="s">
        <v>22</v>
      </c>
      <c r="C21" s="19">
        <v>2.5</v>
      </c>
      <c r="D21" s="19">
        <v>56000000</v>
      </c>
      <c r="E21" s="22">
        <f>C21*D21/1000</f>
        <v>140000</v>
      </c>
    </row>
    <row r="22" spans="1:5" ht="72.75" customHeight="1">
      <c r="A22" s="25" t="s">
        <v>59</v>
      </c>
      <c r="B22" s="26"/>
      <c r="C22" s="26"/>
      <c r="D22" s="26"/>
      <c r="E22" s="27">
        <f>SUM(E4:E21)</f>
        <v>252272.44375</v>
      </c>
    </row>
  </sheetData>
  <sheetProtection/>
  <mergeCells count="4">
    <mergeCell ref="A1:E1"/>
    <mergeCell ref="A2:A3"/>
    <mergeCell ref="B2:B3"/>
    <mergeCell ref="C2:C3"/>
  </mergeCells>
  <printOptions/>
  <pageMargins left="0.7" right="0.7" top="0.75" bottom="0.75" header="0.3" footer="0.3"/>
  <pageSetup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2.421875" style="0" customWidth="1"/>
    <col min="2" max="2" width="9.7109375" style="0" customWidth="1"/>
    <col min="3" max="3" width="14.7109375" style="0" customWidth="1"/>
    <col min="4" max="4" width="13.8515625" style="0" customWidth="1"/>
    <col min="5" max="5" width="19.8515625" style="0" customWidth="1"/>
    <col min="6" max="6" width="14.140625" style="0" customWidth="1"/>
  </cols>
  <sheetData>
    <row r="1" spans="1:5" ht="35.25" customHeight="1">
      <c r="A1" s="41" t="s">
        <v>55</v>
      </c>
      <c r="B1" s="42"/>
      <c r="C1" s="42"/>
      <c r="D1" s="42"/>
      <c r="E1" s="43"/>
    </row>
    <row r="2" spans="1:5" ht="35.25" customHeight="1">
      <c r="A2" s="44" t="s">
        <v>41</v>
      </c>
      <c r="B2" s="45" t="s">
        <v>42</v>
      </c>
      <c r="C2" s="45" t="s">
        <v>43</v>
      </c>
      <c r="D2" s="21" t="s">
        <v>44</v>
      </c>
      <c r="E2" s="21" t="s">
        <v>46</v>
      </c>
    </row>
    <row r="3" spans="1:5" ht="15">
      <c r="A3" s="44"/>
      <c r="B3" s="45"/>
      <c r="C3" s="45"/>
      <c r="D3" s="21" t="s">
        <v>45</v>
      </c>
      <c r="E3" s="21" t="s">
        <v>47</v>
      </c>
    </row>
    <row r="4" spans="1:5" ht="17.25">
      <c r="A4" s="18" t="s">
        <v>31</v>
      </c>
      <c r="B4" s="19" t="s">
        <v>32</v>
      </c>
      <c r="C4" s="19">
        <f>2.25*5</f>
        <v>11.25</v>
      </c>
      <c r="D4" s="19">
        <v>11000</v>
      </c>
      <c r="E4" s="23">
        <f>C4*D4/1000</f>
        <v>123.75</v>
      </c>
    </row>
    <row r="5" spans="1:5" ht="16.5">
      <c r="A5" s="18" t="s">
        <v>51</v>
      </c>
      <c r="B5" s="19" t="s">
        <v>36</v>
      </c>
      <c r="C5" s="19">
        <f>17000*5</f>
        <v>85000</v>
      </c>
      <c r="D5" s="19">
        <v>100</v>
      </c>
      <c r="E5" s="22">
        <f>C5*D5/1000</f>
        <v>8500</v>
      </c>
    </row>
    <row r="6" spans="1:5" ht="33">
      <c r="A6" s="16" t="s">
        <v>62</v>
      </c>
      <c r="B6" s="19" t="s">
        <v>61</v>
      </c>
      <c r="C6" s="19" t="s">
        <v>65</v>
      </c>
      <c r="D6" s="19">
        <v>4000</v>
      </c>
      <c r="E6" s="23">
        <f>5*200*D6/1000</f>
        <v>4000</v>
      </c>
    </row>
    <row r="7" spans="1:5" ht="66">
      <c r="A7" s="16" t="s">
        <v>35</v>
      </c>
      <c r="B7" s="17" t="s">
        <v>22</v>
      </c>
      <c r="C7" s="17">
        <v>5</v>
      </c>
      <c r="D7" s="17">
        <v>200000</v>
      </c>
      <c r="E7" s="23">
        <f>C7*D7/1000</f>
        <v>1000</v>
      </c>
    </row>
    <row r="8" spans="1:5" ht="49.5">
      <c r="A8" s="16" t="s">
        <v>50</v>
      </c>
      <c r="B8" s="17" t="s">
        <v>36</v>
      </c>
      <c r="C8" s="17">
        <f>450*5</f>
        <v>2250</v>
      </c>
      <c r="D8" s="17">
        <v>800</v>
      </c>
      <c r="E8" s="23">
        <f>C8*D8/1000</f>
        <v>1800</v>
      </c>
    </row>
    <row r="9" spans="1:5" ht="33">
      <c r="A9" s="16" t="s">
        <v>37</v>
      </c>
      <c r="B9" s="17" t="s">
        <v>36</v>
      </c>
      <c r="C9" s="17">
        <f>200*5</f>
        <v>1000</v>
      </c>
      <c r="D9" s="17">
        <v>320</v>
      </c>
      <c r="E9" s="23">
        <f>C9*D9/1000</f>
        <v>320</v>
      </c>
    </row>
    <row r="10" spans="1:5" ht="49.5">
      <c r="A10" s="16" t="s">
        <v>38</v>
      </c>
      <c r="B10" s="17" t="s">
        <v>22</v>
      </c>
      <c r="C10" s="17">
        <v>5</v>
      </c>
      <c r="D10" s="17"/>
      <c r="E10" s="24">
        <f>SUM(E4:E9)*0.05</f>
        <v>787.1875</v>
      </c>
    </row>
    <row r="11" spans="1:5" ht="61.5" customHeight="1">
      <c r="A11" s="25" t="s">
        <v>57</v>
      </c>
      <c r="B11" s="26"/>
      <c r="C11" s="26"/>
      <c r="D11" s="26"/>
      <c r="E11" s="27">
        <f>SUM(E4:E10)</f>
        <v>16530.9375</v>
      </c>
    </row>
  </sheetData>
  <sheetProtection/>
  <mergeCells count="4">
    <mergeCell ref="A1:E1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22.421875" style="0" customWidth="1"/>
    <col min="2" max="2" width="9.7109375" style="0" customWidth="1"/>
    <col min="3" max="3" width="14.7109375" style="0" customWidth="1"/>
    <col min="4" max="4" width="13.8515625" style="0" customWidth="1"/>
    <col min="5" max="5" width="19.8515625" style="0" customWidth="1"/>
    <col min="6" max="6" width="14.140625" style="0" customWidth="1"/>
  </cols>
  <sheetData>
    <row r="1" spans="1:5" ht="35.25" customHeight="1">
      <c r="A1" s="41" t="s">
        <v>56</v>
      </c>
      <c r="B1" s="42"/>
      <c r="C1" s="42"/>
      <c r="D1" s="42"/>
      <c r="E1" s="43"/>
    </row>
    <row r="2" spans="1:5" ht="35.25" customHeight="1">
      <c r="A2" s="44" t="s">
        <v>41</v>
      </c>
      <c r="B2" s="45" t="s">
        <v>42</v>
      </c>
      <c r="C2" s="45" t="s">
        <v>43</v>
      </c>
      <c r="D2" s="21" t="s">
        <v>44</v>
      </c>
      <c r="E2" s="21" t="s">
        <v>46</v>
      </c>
    </row>
    <row r="3" spans="1:5" ht="15">
      <c r="A3" s="44"/>
      <c r="B3" s="45"/>
      <c r="C3" s="45"/>
      <c r="D3" s="21" t="s">
        <v>45</v>
      </c>
      <c r="E3" s="21" t="s">
        <v>47</v>
      </c>
    </row>
    <row r="4" spans="1:5" ht="17.25">
      <c r="A4" s="18" t="s">
        <v>31</v>
      </c>
      <c r="B4" s="19" t="s">
        <v>32</v>
      </c>
      <c r="C4" s="19">
        <f>2.25*2.5</f>
        <v>5.625</v>
      </c>
      <c r="D4" s="19">
        <v>11000</v>
      </c>
      <c r="E4" s="23">
        <f>C4*D4/1000</f>
        <v>61.875</v>
      </c>
    </row>
    <row r="5" spans="1:5" ht="33">
      <c r="A5" s="16" t="s">
        <v>62</v>
      </c>
      <c r="B5" s="19" t="s">
        <v>61</v>
      </c>
      <c r="C5" s="19" t="s">
        <v>66</v>
      </c>
      <c r="D5" s="19">
        <v>4000</v>
      </c>
      <c r="E5" s="23">
        <f>5*300*D5/1000</f>
        <v>6000</v>
      </c>
    </row>
    <row r="6" spans="1:5" ht="66">
      <c r="A6" s="16" t="s">
        <v>35</v>
      </c>
      <c r="B6" s="17" t="s">
        <v>22</v>
      </c>
      <c r="C6" s="17">
        <v>2.5</v>
      </c>
      <c r="D6" s="17">
        <v>200000</v>
      </c>
      <c r="E6" s="23">
        <f>C6*D6/1000</f>
        <v>500</v>
      </c>
    </row>
    <row r="7" spans="1:5" ht="49.5">
      <c r="A7" s="16" t="s">
        <v>50</v>
      </c>
      <c r="B7" s="17" t="s">
        <v>36</v>
      </c>
      <c r="C7" s="17">
        <f>450*2.5</f>
        <v>1125</v>
      </c>
      <c r="D7" s="17">
        <v>800</v>
      </c>
      <c r="E7" s="23">
        <f>C7*D7/1000</f>
        <v>900</v>
      </c>
    </row>
    <row r="8" spans="1:5" ht="33">
      <c r="A8" s="16" t="s">
        <v>37</v>
      </c>
      <c r="B8" s="17" t="s">
        <v>36</v>
      </c>
      <c r="C8" s="17">
        <f>200*2.5</f>
        <v>500</v>
      </c>
      <c r="D8" s="17">
        <v>320</v>
      </c>
      <c r="E8" s="23">
        <f>C8*D8/1000</f>
        <v>160</v>
      </c>
    </row>
    <row r="9" spans="1:5" ht="49.5">
      <c r="A9" s="16" t="s">
        <v>38</v>
      </c>
      <c r="B9" s="17" t="s">
        <v>22</v>
      </c>
      <c r="C9" s="17">
        <v>2.5</v>
      </c>
      <c r="D9" s="17"/>
      <c r="E9" s="24">
        <f>SUM(E4:E8)*0.05</f>
        <v>381.09375</v>
      </c>
    </row>
    <row r="10" spans="1:5" ht="16.5">
      <c r="A10" s="18" t="s">
        <v>51</v>
      </c>
      <c r="B10" s="19" t="s">
        <v>36</v>
      </c>
      <c r="C10" s="19">
        <f>30000*2.5</f>
        <v>75000</v>
      </c>
      <c r="D10" s="19">
        <v>100</v>
      </c>
      <c r="E10" s="22">
        <f>C10*D10/1000</f>
        <v>7500</v>
      </c>
    </row>
    <row r="11" spans="1:5" ht="90.75" customHeight="1">
      <c r="A11" s="25" t="s">
        <v>58</v>
      </c>
      <c r="B11" s="26"/>
      <c r="C11" s="26"/>
      <c r="D11" s="26"/>
      <c r="E11" s="27">
        <f>SUM(E4:E10)</f>
        <v>15502.96875</v>
      </c>
    </row>
  </sheetData>
  <sheetProtection/>
  <mergeCells count="4">
    <mergeCell ref="A1:E1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Karine.Yesayan</dc:creator>
  <cp:keywords/>
  <dc:description/>
  <cp:lastModifiedBy>Karine.Yesayan</cp:lastModifiedBy>
  <cp:lastPrinted>2017-08-31T14:08:08Z</cp:lastPrinted>
  <dcterms:created xsi:type="dcterms:W3CDTF">2017-04-19T10:34:50Z</dcterms:created>
  <dcterms:modified xsi:type="dcterms:W3CDTF">2017-10-16T08:06:05Z</dcterms:modified>
  <cp:category/>
  <cp:version/>
  <cp:contentType/>
  <cp:contentStatus/>
</cp:coreProperties>
</file>